
<file path=[Content_Types].xml><?xml version="1.0" encoding="utf-8"?>
<Types xmlns="http://schemas.openxmlformats.org/package/2006/content-types">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spreadsheetml.sheet.main+xml" PartName="/xl/workbook.xml"/>
  <Override ContentType="application/vnd.openxmlformats-officedocument.spreadsheetml.worksheet+xml" PartName="/xl/worksheets/sheet1.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app.xml" Type="http://schemas.openxmlformats.org/officeDocument/2006/relationships/extended-properties"/><Relationship Id="rId3" Target="docProps/core.xml" Type="http://schemas.openxmlformats.org/package/2006/relationships/metadata/core-properties"/></Relationships>
</file>

<file path=xl/workbook.xml><?xml version="1.0" encoding="utf-8"?>
<workbook xmlns="http://schemas.openxmlformats.org/spreadsheetml/2006/main" xmlns:r="http://schemas.openxmlformats.org/officeDocument/2006/relationships">
  <workbookPr date1904="false"/>
  <bookViews>
    <workbookView activeTab="0"/>
  </bookViews>
  <sheets>
    <sheet name="Árlista" r:id="rId3" sheetId="1"/>
  </sheets>
</workbook>
</file>

<file path=xl/sharedStrings.xml><?xml version="1.0" encoding="utf-8"?>
<sst xmlns="http://schemas.openxmlformats.org/spreadsheetml/2006/main" count="0" uniqueCount="0"/>
</file>

<file path=xl/styles.xml><?xml version="1.0" encoding="utf-8"?>
<styleSheet xmlns="http://schemas.openxmlformats.org/spreadsheetml/2006/main">
  <numFmts count="0"/>
  <fonts count="5">
    <font>
      <sz val="11.0"/>
      <color indexed="8"/>
      <name val="Calibri"/>
      <family val="2"/>
      <scheme val="minor"/>
    </font>
    <font>
      <name val="Arial"/>
      <sz val="10.0"/>
      <b val="true"/>
    </font>
    <font>
      <name val="Arial"/>
      <sz val="8.0"/>
      <b val="true"/>
    </font>
    <font>
      <name val="Arial"/>
      <sz val="8.0"/>
    </font>
    <font>
      <name val="Arial"/>
      <sz val="8.0"/>
      <color indexed="12"/>
    </font>
  </fonts>
  <fills count="4">
    <fill>
      <patternFill patternType="none"/>
    </fill>
    <fill>
      <patternFill patternType="darkGray"/>
    </fill>
    <fill>
      <patternFill patternType="none">
        <fgColor indexed="22"/>
      </patternFill>
    </fill>
    <fill>
      <patternFill patternType="solid">
        <fgColor indexed="22"/>
      </patternFill>
    </fill>
  </fills>
  <borders count="5">
    <border>
      <left/>
      <right/>
      <top/>
      <bottom/>
      <diagonal/>
    </border>
    <border>
      <top style="thin"/>
    </border>
    <border>
      <top style="thin"/>
      <bottom style="thin"/>
    </border>
    <border>
      <left style="thin"/>
      <top style="thin"/>
      <bottom style="thin"/>
    </border>
    <border>
      <left style="thin"/>
      <right style="thin"/>
      <top style="thin"/>
      <bottom style="thin"/>
    </border>
  </borders>
  <cellStyleXfs count="1">
    <xf numFmtId="0" fontId="0" fillId="0" borderId="0"/>
  </cellStyleXfs>
  <cellXfs count="8">
    <xf numFmtId="0" fontId="0" fillId="0" borderId="0" xfId="0"/>
    <xf numFmtId="4" fontId="2" fillId="0" borderId="4" xfId="0" applyNumberFormat="true" applyBorder="true" applyFont="true">
      <alignment horizontal="right" vertical="top"/>
    </xf>
    <xf numFmtId="0" fontId="3" fillId="0" borderId="4" xfId="0" applyNumberFormat="true" applyBorder="true" applyFont="true">
      <alignment vertical="top"/>
    </xf>
    <xf numFmtId="0" fontId="2" fillId="0" borderId="4" xfId="0" applyNumberFormat="true" applyBorder="true" applyFont="true">
      <alignment vertical="top"/>
    </xf>
    <xf numFmtId="0" fontId="3" fillId="0" borderId="4" xfId="0" applyNumberFormat="true" applyBorder="true" applyFont="true">
      <alignment vertical="justify"/>
    </xf>
    <xf numFmtId="0" fontId="1" fillId="0" borderId="4" xfId="0" applyFont="true" applyBorder="true">
      <alignment horizontal="center" vertical="top" wrapText="true"/>
    </xf>
    <xf numFmtId="0" fontId="1" fillId="3" borderId="4" xfId="0" applyFont="true" applyFill="true" applyBorder="true">
      <alignment horizontal="left" vertical="top"/>
    </xf>
    <xf numFmtId="0" fontId="4" fillId="0" borderId="4" xfId="0" applyFont="true" applyBorder="true">
      <alignment vertical="top"/>
    </xf>
  </cellXfs>
</styleSheet>
</file>

<file path=xl/_rels/workbook.xml.rels><?xml version="1.0" encoding="UTF-8" standalone="yes"?><Relationships xmlns="http://schemas.openxmlformats.org/package/2006/relationships"><Relationship Id="rId1" Target="sharedStrings.xml" Type="http://schemas.openxmlformats.org/officeDocument/2006/relationships/sharedStrings"/><Relationship Id="rId2" Target="styles.xml" Type="http://schemas.openxmlformats.org/officeDocument/2006/relationships/styles"/><Relationship Id="rId3" Target="worksheets/sheet1.xml" Type="http://schemas.openxmlformats.org/officeDocument/2006/relationships/worksheet"/></Relationships>
</file>

<file path=xl/worksheets/sheet1.xml><?xml version="1.0" encoding="utf-8"?>
<worksheet xmlns="http://schemas.openxmlformats.org/spreadsheetml/2006/main">
  <dimension ref="A1"/>
  <sheetViews>
    <sheetView workbookViewId="0" tabSelected="true"/>
  </sheetViews>
  <sheetFormatPr defaultRowHeight="15.0"/>
  <cols>
    <col min="1" max="1" width="39.0625" customWidth="true"/>
    <col min="2" max="2" width="39.0625" customWidth="true"/>
    <col min="3" max="3" width="19.53125" customWidth="true"/>
    <col min="4" max="4" width="50.78125" customWidth="true"/>
    <col min="5" max="5" width="50.78125" customWidth="true"/>
    <col min="6" max="6" width="12.5" customWidth="true"/>
    <col min="7" max="7" width="117.1875" customWidth="true"/>
  </cols>
  <sheetData>
    <row r="1" customHeight="true" ht="25.0">
      <c r="A1" s="5" t="inlineStr">
        <is>
          <t>Típus</t>
        </is>
      </c>
      <c r="B1" s="5" t="inlineStr">
        <is>
          <t>Megnevezés</t>
        </is>
      </c>
      <c r="C1" s="5" t="inlineStr">
        <is>
          <t>Ajánlott bruttó fogyasztói ár HUF</t>
        </is>
      </c>
      <c r="D1" s="5" t="inlineStr">
        <is>
          <t>Link</t>
        </is>
      </c>
      <c r="E1" s="5" t="inlineStr">
        <is>
          <t>Kép</t>
        </is>
      </c>
      <c r="F1" s="5" t="inlineStr">
        <is>
          <t>Vonalkód</t>
        </is>
      </c>
      <c r="G1" s="5" t="inlineStr">
        <is>
          <t>Leírás</t>
        </is>
      </c>
    </row>
    <row r="2">
      <c r="A2" s="6" t="inlineStr">
        <is>
          <t xml:space="preserve">   Grillezés / Gázgrill</t>
        </is>
      </c>
      <c r="B2" s="6" t="inlineStr">
        <is>
          <t/>
        </is>
      </c>
      <c r="C2" s="6" t="inlineStr">
        <is>
          <t/>
        </is>
      </c>
      <c r="D2" s="6" t="inlineStr">
        <is>
          <t/>
        </is>
      </c>
      <c r="E2" s="6" t="inlineStr">
        <is>
          <t/>
        </is>
      </c>
      <c r="F2" s="6" t="inlineStr">
        <is>
          <t/>
        </is>
      </c>
      <c r="G2" s="6" t="inlineStr">
        <is>
          <t/>
        </is>
      </c>
    </row>
    <row r="3">
      <c r="A3" s="3" t="inlineStr">
        <is>
          <t>BC-GAS-2014</t>
        </is>
      </c>
      <c r="B3" s="2" t="inlineStr">
        <is>
          <t>Barbecook BC-GAS-2014 Siesta 210 Black Edition gázgrill, oldalégővel, 112x56x118cm</t>
        </is>
      </c>
      <c r="C3" s="1" t="n">
        <v>144990.0</v>
      </c>
      <c r="D3" s="7" t="n">
        <f>HYPERLINK("https://www.somogyi.hu/product/barbecook-bc-gas-2014-siesta-210-black-edition-gazgrill-oldalegovel-112x56x118cm-bc-gas-2014-18809","https://www.somogyi.hu/product/barbecook-bc-gas-2014-siesta-210-black-edition-gazgrill-oldalegovel-112x56x118cm-bc-gas-2014-18809")</f>
        <v>0.0</v>
      </c>
      <c r="E3" s="7" t="n">
        <f>HYPERLINK("https://www.somogyi.hu/data/img/product_main_images/small/18809.jpg","https://www.somogyi.hu/data/img/product_main_images/small/18809.jpg")</f>
        <v>0.0</v>
      </c>
      <c r="F3" s="2" t="inlineStr">
        <is>
          <t>5400269209353</t>
        </is>
      </c>
      <c r="G3" s="4" t="inlineStr">
        <is>
          <t>Szeretne egy olyan gázgrillt, ami könnyű használatot és sokoldalúságot nyújt egyben? A Barbecook BC-GAS-2014 Siesta 210 Black Edition gázgrill a tökéletes választás azok számára, akik teljes értékű kültéri főzési élményt keresnek, anélkül, hogy le kellene mondaniuk a kényelemről és a kontrollról. 
A Barbecook különféle gázgrill modellt kínál, mindegyikük kiváló minőségű, gyönyörű megjelenésű és könnyen használható. A Siesta a Barbecook gázgrill sorozatának egyik tagja. A Siesta sorozaton belül négy különböző típust talál: Siesta 210, Siesta 310, Siesta 412 és Siesta 612.
A Siesta 210 gázgrill előnyei közé tartozik a stílus, a funkciók és a felhasználóbarát kezelés. Ez a magas minőségű gázgrill tartós bevonattal, tökéletes választás azok számára, akik sokféle ételt szeretnének grillen elkészíteni. A Siesta 210 gázgrillel 10 percen belül kezdheti a grillezést. A duplafalú, zománcozott fedél állandó hőmérsékletet biztosít a gázgrill belsejében. Ráadásul a beépített hőmérőnek köszönhetően könnyen ellenőrizheti a hőmérsékletet. A rácsok zománcozott öntöttvasból készültek, rendkívül magas minőségű anyagból, ideális az alapanyagok egyenletes és jó sütéséhez. A Siesta 210 gázgrill fantasztikus extra funkciója a Dynamic Core Grill. Ez a BBQ központi, legmelegebb része. Úgy tervezték, hogy a grillrács kivehető és helyettesíthető hasznos tartozékokkal, például pizzalappal vagy sütőlappal. Még több lehetőség! Helyezze a már elkészült hozzávalókat a gázgrill melegen tartó rácsára, miközben várja a többi alapanyag elkészültét. 
Az ételek zsírját egy könnyen eltávolítható és mosogatógépben mosható csepegtető tálca gyűjti össze. Megszomjazott a grillezés közben? Semmi probléma, köszönhetően a beépített sörnyitónak azonnal élvezheti a felfrissülést! Jó tudni, hogy a Siesta 210 gázgrill kombinálható a Barbecook forgónyárs készletével is.
A Siesta 210 gázgrill működése rendkívül egyszerű. Először nyissa ki a gázgrill fedelét, majd nyissa meg a gázpalack csapját. Engedje, hogy a gáz áramoljon a gázgrillben. Ezután fordítsa a vezérlőgombokat a legmagasabb állásba. Ezek az egyes égőkhöz vannak kapcsolva. Amikor látja a lángot, zárja be a fedelet és hagyja, hogy a készülék körülbelül 10-15 percig felmelegedjen. Ezután kezdődhet a grillezés! A gázgrill használatakor ajánlott propán gázt használni. Ne felejtse el megvásárolni a megfelelő gázszabályozót. Ez csökkenti a gázpalack nyomását. A gázpalackban lévő nyomás gyakran sokkal magasabb, mint amire a grillnek szüksége van. Rendszeresen ellenőrizze a gázcső dátumát. A szabványos gázcsövek élettartama 5-10 év.
A Siesta 210 gázgrill műszaki adatai: A Siesta 210 a Siesta modellek legkisebb változata. Azonban a "kicsi" szó félrevezető lehet, mivel ezzel a gázgrillel akár 8 főt is kiszolgálhat. Az eszköz két égővel és két ráccsal rendelkezik, amelyek méretei: 35 cm x 43 cm és 13,5 cm x 43 cm. Továbbá, a gázgrill egy rögzített oldalsó asztallal és egy oldalsó égőt is kapott, amely ideális szószok vagy köretek elkészítésére. A Siesta 210 gázgrill könnyen mozgatható a készülék alján található két nagy keréknek köszönhetően.
Kicsi a bors, de erős! Amennyiben egy kompakt de megbízható gázgrillt keres extra funkciókkal, úgy a Siesta 210 lesz Önnek a megfelelő választás.</t>
        </is>
      </c>
    </row>
    <row r="4">
      <c r="A4" s="3" t="inlineStr">
        <is>
          <t>BC-GAS-2073</t>
        </is>
      </c>
      <c r="B4" s="2" t="inlineStr">
        <is>
          <t>Barbecook BC-GAS-2073 Siesta 412 Graphite gázgrill, tárolóval, oldalégővel, 132x56x118cm</t>
        </is>
      </c>
      <c r="C4" s="1" t="n">
        <v>320990.0</v>
      </c>
      <c r="D4" s="7" t="n">
        <f>HYPERLINK("https://www.somogyi.hu/product/barbecook-bc-gas-2073-siesta-412-graphite-gazgrill-taroloval-oldalegovel-132x56x118cm-bc-gas-2073-18811","https://www.somogyi.hu/product/barbecook-bc-gas-2073-siesta-412-graphite-gazgrill-taroloval-oldalegovel-132x56x118cm-bc-gas-2073-18811")</f>
        <v>0.0</v>
      </c>
      <c r="E4" s="7" t="n">
        <f>HYPERLINK("https://www.somogyi.hu/data/img/product_main_images/small/18811.jpg","https://www.somogyi.hu/data/img/product_main_images/small/18811.jpg")</f>
        <v>0.0</v>
      </c>
      <c r="F4" s="2" t="inlineStr">
        <is>
          <t>5404035700846</t>
        </is>
      </c>
      <c r="G4" s="4" t="inlineStr">
        <is>
          <t>Szeretne egy olyan gázgrillt, ami könnyű használatot és sokoldalúságot nyújt egyben? A Barbecook BC-GAS-2073 Siesta 412 Graphite gázgrill a tökéletes választás azok számára, akik teljes értékű kültéri főzési élményt keresnek, anélkül, hogy le kellene mondaniuk a kényelemről és a kontrollról. 
A Barbecook különféle gázgrill modellt kínál, mindegyikük kiváló minőségű, gyönyörű megjelenésű és könnyen használható. A Siesta a Barbecook gázgrill sorozatának egyik tagja. A Siesta sorozaton belül négy különböző típust talál: Siesta 210, Siesta 310, Siesta 412 és Siesta 612.
A Siesta 412 gázgrill előnyei közé tartozik a stílus, a funkciók és a felhasználóbarát kezelés. Ez a magas minőségű gázgrill tartós bevonattal, tökéletes választás azok számára, akik sokféle ételt szeretnének grillen elkészíteni. A Siesta 412 gázgrillel 10 percen belül kezdheti a grillezést. A duplafalú, zománcozott fedél állandó hőmérsékletet biztosít a gázgrill belsejében. Ráadásul a beépített hőmérőnek köszönhetően könnyen ellenőrizheti a hőmérsékletet. A rácsok zománcozott öntöttvasból készültek, rendkívül magas minőségű anyagból, ideális az alapanyagok egyenletes és jó sütéséhez. A Siesta 412 gázgrill fantasztikus extra funkciója a Dynamic Core Grill. Ez a BBQ központi, legmelegebb része. Úgy tervezték, hogy a grillrács kivehető és helyettesíthető hasznos tartozékokkal, például pizzalappal vagy sütőlappal. Még több lehetőség! Helyezze a már elkészült hozzávalókat a gázgrill melegen tartó rácsára, miközben várja a többi alapanyag elkészültét. 
Az ételek zsírját egy könnyen eltávolítható és mosogatógépben mosható csepegtető tálca gyűjti össze. Megszomjazott a grillezés közben? Semmi probléma, köszönhetően a beépített sörnyitónak azonnal élvezheti a felfrissülést! Jó tudni, hogy a Siesta 412 gázgrill kombinálható a Barbecook forgónyárs készletével is.
A Siesta 412 gázgrill működése rendkívül egyszerű. Először nyissa ki a gázgrill fedelét, majd nyissa meg a gázpalack csapját. Engedje, hogy a gáz áramoljon a gázgrillben. Ezután fordítsa a vezérlőgombokat a legmagasabb állásba. Ezek az egyes égőkhöz vannak kapcsolva. Amikor látja a lángot, zárja be a fedelet és hagyja, hogy a készülék körülbelül 10-15 percig felmelegedjen. Ezután kezdődhet a grillezés! A gázgrill használatakor ajánlott propán gázt használni. Ne felejtse el megvásárolni a megfelelő gázszabályozót. Ez csökkenti a gázpalack nyomását. A gázpalackban lévő nyomás gyakran sokkal magasabb, mint amire a grillnek szüksége van. Rendszeresen ellenőrizze a gázcső dátumát. A szabványos gázcsövek élettartama 5-10 év.
A Siesta 412 gázsütővel akár 14 főt is kiszolgálhat. Ez a készülék négy égővel és három ráccsal rendelkezik, egy 35x43 cm, kettő pedig 17,5x43 cm méretű. Ezen kívül ez a gázsütő egy fix asztallal és egy oldalégővel rendelkezik, ideális szószok vagy köretek készítéséhez. A Siesta 412 gázsütő könnyen mozgatható a készülék alján található négy keréknek köszönhetően. Ezenkívül ez a gázsütő ajtóval rendelkező tárolóval és külső gázpalacktartóval van felszerelve.
Amennyiben egy kompakt de megbízható gázgrillt keres extra funkciókkal, úgy a Siesta 412 lesz Önnek a megfelelő választás.</t>
        </is>
      </c>
    </row>
    <row r="5">
      <c r="A5" s="3" t="inlineStr">
        <is>
          <t>BC-GAS-2031</t>
        </is>
      </c>
      <c r="B5" s="2" t="inlineStr">
        <is>
          <t>Barbecook BC-GAS-2031 Siesta 612 Black Edition gázgrill, tárolóval, oldalégővel, nyárs égőfejjel, 143x56x120cm</t>
        </is>
      </c>
      <c r="C5" s="1" t="n">
        <v>317990.0</v>
      </c>
      <c r="D5" s="7" t="n">
        <f>HYPERLINK("https://www.somogyi.hu/product/barbecook-bc-gas-2031-siesta-612-black-edition-gazgrill-taroloval-oldalegovel-nyars-egofejjel-143x56x120cm-bc-gas-2031-18810","https://www.somogyi.hu/product/barbecook-bc-gas-2031-siesta-612-black-edition-gazgrill-taroloval-oldalegovel-nyars-egofejjel-143x56x120cm-bc-gas-2031-18810")</f>
        <v>0.0</v>
      </c>
      <c r="E5" s="7" t="n">
        <f>HYPERLINK("https://www.somogyi.hu/data/img/product_main_images/small/18810.jpg","https://www.somogyi.hu/data/img/product_main_images/small/18810.jpg")</f>
        <v>0.0</v>
      </c>
      <c r="F5" s="2" t="inlineStr">
        <is>
          <t>5400269209452</t>
        </is>
      </c>
      <c r="G5" s="4" t="inlineStr">
        <is>
          <t>Szeretne egy olyan gázgrillt, ami könnyű használatot és sokoldalúságot nyújt egyben? A Barbecook BC-GAS-2031 Siesta 612 Black Edition gázgrill a tökéletes választás azok számára, akik teljes értékű kültéri főzési élményt keresnek, anélkül, hogy le kellene mondaniuk a kényelemről és a kontrollról. 
A Barbecook különféle gázgrill modellt kínál, mindegyikük kiváló minőségű, gyönyörű megjelenésű és könnyen használható. A Siesta a Barbecook gázgrill sorozatának egyik tagja. A Siesta sorozaton belül négy különböző típust talál: Siesta 210, Siesta 310, Siesta 412 és Siesta 612.
A Siesta 612 gázgrill előnyei közé tartozik a stílus, a funkciók és a felhasználóbarát kezelés. Ez a magas minőségű gázgrill tartós bevonattal, tökéletes választás azok számára, akik sokféle ételt szeretnének grillen elkészíteni. A Siesta 612 gázgrillel 10 percen belül kezdheti a grillezést. A duplafalú, zománcozott fedél állandó hőmérsékletet biztosít a gázgrill belsejében. Ráadásul a beépített hőmérőnek köszönhetően könnyen ellenőrizheti a hőmérsékletet. A rácsok zománcozott öntöttvasból készültek, rendkívül magas minőségű anyagból, ideális az alapanyagok egyenletes és jó sütéséhez. A Siesta 612 gázgrill fantasztikus extra funkciója a Dynamic Core Grill. Ez a BBQ központi, legmelegebb része. Úgy tervezték, hogy a grillrács kivehető és helyettesíthető hasznos tartozékokkal, például pizzalappal vagy sütőlappal. Még több lehetőség! Helyezze a már elkészült hozzávalókat a gázgrill melegen tartó rácsára, miközben várja a többi alapanyag elkészültét. 
Az ételek zsírját egy könnyen eltávolítható és mosogatógépben mosható csepegtető tálca gyűjti össze. Megszomjazott a grillezés közben? Semmi probléma, köszönhetően a beépített sörnyitónak azonnal élvezheti a felfrissülést! Jó tudni, hogy a Siesta 612 gázgrill kombinálható a Barbecook forgónyárs készletével is.
A Siesta 612 gázgrill működése rendkívül egyszerű. Először nyissa ki a gázgrill fedelét, majd nyissa meg a gázpalack csapját. Engedje, hogy a gáz áramoljon a gázgrillben. Ezután fordítsa a vezérlőgombokat a legmagasabb állásba. Ezek az egyes égőkhöz vannak kapcsolva. Amikor látja a lángot, zárja be a fedelet és hagyja, hogy a készülék körülbelül 10-15 percig felmelegedjen. Ezután kezdődhet a grillezés! A gázgrill használatakor ajánlott propán gázt használni. Ne felejtse el megvásárolni a megfelelő gázszabályozót. Ez csökkenti a gázpalack nyomását. A gázpalackban lévő nyomás gyakran sokkal magasabb, mint amire a grillnek szüksége van. Rendszeresen ellenőrizze a gázcső dátumát. A szabványos gázcsövek élettartama 5-10 év.
A Siesta 612 gázsütővel akár 16 főt is kiszolgálhat. Ez a készülék öt égővel és három ráccsal rendelkezik, egy 35x43 cm, kettő pedig 22,5x43 cm méretű. Tartozéka még a nyárs égőfej, mely oldalról melegíti pl. a forgónyárson sülő húst. Ezen kívül ez a gázsütő egy fix asztallal és egy oldalégővel rendelkezik, ideális szószok vagy köretek készítéséhez. A Siesta 612 gázsütő könnyen mozgatható a készülék alján található négy keréknek köszönhetően. Továbbá ez a gázsütő ajtókkal ellátott tárolóhellyel és külső gázpalacktartóval van felszerelve. A tárolóban megtalálható egy szemetesedény és palacktartó is.
Amennyiben egy kompakt de megbízható gázgrillt keres extra funkciókkal, úgy a Siesta 612 lesz Önnek a megfelelő választás.</t>
        </is>
      </c>
    </row>
    <row r="6">
      <c r="A6" s="3" t="inlineStr">
        <is>
          <t>BC-GAS-2024</t>
        </is>
      </c>
      <c r="B6" s="2" t="inlineStr">
        <is>
          <t>Barbecook BC-GAS-2024 Siesta 412 Black Edition gázgrill, tárolóval, oldalégővel, 132x56x120cm</t>
        </is>
      </c>
      <c r="C6" s="1" t="n">
        <v>255990.0</v>
      </c>
      <c r="D6" s="7" t="n">
        <f>HYPERLINK("https://www.somogyi.hu/product/barbecook-bc-gas-2024-siesta-412-black-edition-gazgrill-taroloval-oldalegovel-132x56x120cm-bc-gas-2024-18753","https://www.somogyi.hu/product/barbecook-bc-gas-2024-siesta-412-black-edition-gazgrill-taroloval-oldalegovel-132x56x120cm-bc-gas-2024-18753")</f>
        <v>0.0</v>
      </c>
      <c r="E6" s="7" t="n">
        <f>HYPERLINK("https://www.somogyi.hu/data/img/product_main_images/small/18753.jpg","https://www.somogyi.hu/data/img/product_main_images/small/18753.jpg")</f>
        <v>0.0</v>
      </c>
      <c r="F6" s="2" t="inlineStr">
        <is>
          <t>5400269207519</t>
        </is>
      </c>
      <c r="G6" s="4" t="inlineStr">
        <is>
          <t>Szeretne egy olyan gázgrillt, ami könnyű használatot és sokoldalúságot nyújt egyben? A Barbecook BC-GAS-2024 Siesta 412 Black Edition gázgrill a tökéletes választás azok számára, akik teljes értékű kültéri főzési élményt keresnek, anélkül, hogy le kellene mondaniuk a kényelemről és a kontrollról. 
A Barbecook különféle gázgrill modellt kínál, mindegyikük kiváló minőségű, gyönyörű megjelenésű és könnyen használható. A Siesta a Barbecook gázgrill sorozatának egyik tagja. A Siesta sorozaton belül négy különböző típust talál: Siesta 210, Siesta 310, Siesta 412 és Siesta 612.
A Siesta 412 gázgrill előnyei közé tartozik a stílus, a funkciók és a felhasználóbarát kezelés. Ez a magas minőségű gázgrill tartós bevonattal, tökéletes választás azok számára, akik sokféle ételt szeretnének grillen elkészíteni. A Siesta 412 gázgrillel 10 percen belül kezdheti a grillezést. A duplafalú, zománcozott fedél állandó hőmérsékletet biztosít a gázgrill belsejében. Ráadásul a beépített hőmérőnek köszönhetően könnyen ellenőrizheti a hőmérsékletet. A rácsok zománcozott öntöttvasból készültek, rendkívül magas minőségű anyagból, ideális az alapanyagok egyenletes és jó sütéséhez. A Siesta 412 gázgrill fantasztikus extra funkciója a Dynamic Core Grill. Ez a BBQ központi, legmelegebb része. Úgy tervezték, hogy a grillrács kivehető és helyettesíthető hasznos tartozékokkal, például pizzalappal vagy sütőlappal. Még több lehetőség! Helyezze a már elkészült hozzávalókat a gázgrill melegen tartó rácsára, miközben várja a többi alapanyag elkészültét. 
Az ételek zsírját egy könnyen eltávolítható és mosogatógépben mosható csepegtető tálca gyűjti össze. Megszomjazott a grillezés közben? Semmi probléma, köszönhetően a beépített sörnyitónak azonnal élvezheti a felfrissülést! Jó tudni, hogy a Siesta 412 gázgrill kombinálható a Barbecook forgónyárs készletével is.
A Siesta 412 gázgrill működése rendkívül egyszerű. Először nyissa ki a gázgrill fedelét, majd nyissa meg a gázpalack csapját. Engedje, hogy a gáz áramoljon a gázgrillben. Ezután fordítsa a vezérlőgombokat a legmagasabb állásba. Ezek az egyes égőkhöz vannak kapcsolva. Amikor látja a lángot, zárja be a fedelet és hagyja, hogy a készülék körülbelül 10-15 percig felmelegedjen. Ezután kezdődhet a grillezés! A gázgrill használatakor ajánlott propán gázt használni. Ne felejtse el megvásárolni a megfelelő gázszabályozót. Ez csökkenti a gázpalack nyomását. A gázpalackban lévő nyomás gyakran sokkal magasabb, mint amire a grillnek szüksége van. Rendszeresen ellenőrizze a gázcső dátumát. A szabványos gázcsövek élettartama 5-10 év.
A Siesta 412 gázsütővel akár 14 főt is kiszolgálhat. Ez a készülék négy égővel és három ráccsal rendelkezik, egy 35x43 cm, kettő pedig 17,5x43 cm méretű. Ezen kívül ez a gázsütő egy fix asztallal és egy oldalégővel rendelkezik, ideális szószok vagy köretek készítéséhez. A Siesta 412 gázsütő könnyen mozgatható a készülék alján található négy keréknek köszönhetően. Ezenkívül ez a gázsütő ajtóval rendelkező tárolóval és külső gázpalacktartóval van felszerelve.
Amennyiben egy kompakt de megbízható gázgrillt keres extra funkciókkal, úgy a Siesta 412 lesz Önnek a megfelelő választás.</t>
        </is>
      </c>
    </row>
    <row r="7">
      <c r="A7" s="3" t="inlineStr">
        <is>
          <t>BC-GAS-2009</t>
        </is>
      </c>
      <c r="B7" s="2" t="inlineStr">
        <is>
          <t>Barbecook BC-GAS-2009 Spring 2002 gázgrill, 110x55x115cm</t>
        </is>
      </c>
      <c r="C7" s="1" t="n">
        <v>135990.0</v>
      </c>
      <c r="D7" s="7" t="n">
        <f>HYPERLINK("https://www.somogyi.hu/product/barbecook-bc-gas-2009-spring-2002-gazgrill-110x55x115cm-bc-gas-2009-18808","https://www.somogyi.hu/product/barbecook-bc-gas-2009-spring-2002-gazgrill-110x55x115cm-bc-gas-2009-18808")</f>
        <v>0.0</v>
      </c>
      <c r="E7" s="7" t="n">
        <f>HYPERLINK("https://www.somogyi.hu/data/img/product_main_images/small/18808.jpg","https://www.somogyi.hu/data/img/product_main_images/small/18808.jpg")</f>
        <v>0.0</v>
      </c>
      <c r="F7" s="2" t="inlineStr">
        <is>
          <t>5400269210557</t>
        </is>
      </c>
      <c r="G7" s="4" t="inlineStr">
        <is>
          <t>Egy gázgrillt keres, amely könnyű használatot és sokoldalúságot kínál? Fedezze fel a Barbecook Spring 2002 gázgrillt, amely a kényelem és a könnyedség kombinációját kínálja a kültéri főzési élményhez. Ez a modell ideális választás lehet azok számára, akik értékelik az egyszerűséget és a precizitást grillezés közben.
A Spring 2002 gázgrill előnyei:
A Barbecook Spring 2002 gázgrill számos előnnyel rendelkezik, amely megkönnyíti a grillezést és emeli a kerti partik színvonalát. Az elektronikus gyújtórendszer (1 db AA elemmel működtetve, nem tartozék) lehetővé teszi a grill gyors és biztonságos begyújtását, míg a zománcozott fedélbe integrált hőmérő segítségével pontosan ellenőrizheti az étel hőmérsékletét. Az öntöttvas rácsok ideálisak a hozzávalók egyenletes és intenzív sütéséhez. A speciális melegen tartó rács segítségével az elkészült ételeket tökéletes hőmérsékleten tarthatja, míg a nagyméretű kerekeknek köszönhetően a grillt könnyedén mozgathatja. A mosogatógépben tisztítható csepegtetőedény egyszerűvé teszi a takarítást, míg a két összecsukható oldalasztal és a 3 tartozékkampó extra kényelmet és tárolási lehetőségeket biztosít grillezés közben.
Hogyan működik a Spring 2002 gázgrill?
A Spring 2002 gázgrill használata rendkívül egyszerű: nyissa ki a grill fedelét, nyissa meg a gázpalack csapot, és hagyja, hogy a gáz beáramoljon a grillbe. Fordítsa a szabályozógombokat a legmagasabb állásba, az elektronikus gyújtórendszer segítségével szikrát biztosíthat. Amint lát lángot, zárja be a fedelet, és hagyja, hogy a készülék 10-15 percig melegedjen. Ezután kezdődhet a grillezés! A propángáz használata ajánlott, ne felejtsen el megfelelő gázszabályozót vásárolni, amely csökkenti a gázpalack nyomását. Rendszeresen ellenőrizze a gázcső dátumát, mivel a szabványos gázcsövek élettartama 5-10 év.
A Spring 2002 gázgrill összegezve:
A Spring 2002 gázgrill a Spring sorozat legkisebb modellje, amely két égőfejjel és két, 24x43cm méretű ráccsal rendelkezik, ezzel körülbelül 8 személy számára biztosít grillezési lehetőséget. A két összecsukható oldalasztal - amelyek közül az egyik 3 praktikus tartozékkampóval van ellátva - extra kényelmet és tárolási lehetőségeket nyújt. A nagyméretű kerekeknek köszönhetően a grill könnyedén mozgatható, míg a mosogatógépben tisztítható csepegtetőedény egyszerűvé teszi a takarítást. A zománcozott fedél és az integrált hőmérő segítségével teljes ellenőrzést gyakorolhat az étel fölött, így a Spring 2002 gázgrill azok számára tökéletes választás, akik a grillezés kényelmét és kontrollját részesítik előnyben.
Hagyja hogy a Barbecook Spring 2002 elvarázsolja minden grillezés alkalmával.</t>
        </is>
      </c>
    </row>
    <row r="8">
      <c r="A8" s="3" t="inlineStr">
        <is>
          <t>BC-GAS-2003</t>
        </is>
      </c>
      <c r="B8" s="2" t="inlineStr">
        <is>
          <t>Barbecook BC-GAS-2003 Spring 3212 gázgrill, tárolóval, oldalégővel, 133x57x115cm</t>
        </is>
      </c>
      <c r="C8" s="1" t="n">
        <v>208990.0</v>
      </c>
      <c r="D8" s="7" t="n">
        <f>HYPERLINK("https://www.somogyi.hu/product/barbecook-bc-gas-2003-spring-3212-gazgrill-taroloval-oldalegovel-133x57x115cm-bc-gas-2003-18807","https://www.somogyi.hu/product/barbecook-bc-gas-2003-spring-3212-gazgrill-taroloval-oldalegovel-133x57x115cm-bc-gas-2003-18807")</f>
        <v>0.0</v>
      </c>
      <c r="E8" s="7" t="n">
        <f>HYPERLINK("https://www.somogyi.hu/data/img/product_main_images/small/18807.jpg","https://www.somogyi.hu/data/img/product_main_images/small/18807.jpg")</f>
        <v>0.0</v>
      </c>
      <c r="F8" s="2" t="inlineStr">
        <is>
          <t>5400269210564</t>
        </is>
      </c>
      <c r="G8" s="4" t="inlineStr">
        <is>
          <t>Egy olyan grillt keres, ami egyszerűséget és sokoldalúságot kínál egyben? A Barbecook BC-GAS-2003 Spring 3212 gázgrill minden igényt kielégít, legyen szó a teljes kültéri főzési élményről, miközben nem kell lemondania a kényelemről és a kontrollról. 
A Barbecook különféle gázgrill modelljeit kínálja, amelyek mindegyike kiemelkedik minőségében, megjelenésében és könnyű használhatóságában. A Spring sorozat négy különböző formátumban kapható: Spring 2002, Spring 3002, Spring 3112 és Spring 3212.
A Spring 3212 gázgrill számos előnnyel rendelkezik. Ez a grilltípus rendkívül könnyen és gyorsan gyújtható be, így nem kell időt veszítenie, azonnal kezdheti a grillezést. A gázgrill stabil eszköz, amellyel számos különböző ételt készíthet: klasszikus BBQ kolbászt, pizzát vagy akár süteményt is. A zománcozott fedél és a beépített hőmérő segítségével maximális kontrollt biztosít ételei felett. A Spring 3212 gázgrill rácsai zománcozott öntöttvasból készültek, tökéletesek az alapanyagok egyenletes és jó sütéséhez. Ha több alapanyagot grillez egyszerre, és az egyik már elkészült, egyszerűen helyezze azt a melegen tartó rácsra, amíg a többi megsül. A beépített, mosogatógépben mosható csepegtető tálca gyűjti össze az ételek zsírját. A Spring 3212 gázgrill két kerékkel van ellátva, így könnyen mozgatható.
A Spring 3212 gázgrill használata rendkívül egyszerű. Először nyissa ki a gázgrill fedelét, majd nyissa meg a gázpalackot. Hagyja, hogy a gáz áramoljon a grillben. Ezután tekerje a vezérlőgombokat a legmagasabb állásba. Ezek az egyes égőkhöz vannak kapcsolva. Amikor látja a lángot, zárja be a fedelet és hagyja a készüléket kb. 10-15 percig felmelegedni. Ezután kezdődhet a grillezés! A gázgrill használatakor ajánlott propán gázt használni, és ne felejtse el megvásárolni a hozzáillő gázszabályozót. Ez csökkenti a gázpalack nyomását, ami gyakran sokkal magasabb, mint amire a grillnek szüksége van. Rendszeresen ellenőrizze a gázcső dátumát. A szabványos gázcsövek élettartama 5-10 év.
A Spring 3212 gázgrill műszaki adatai: Három égővel és három, 21 cm x 43 cm méretű ráccsal rendelkezik, amellyel körülbelül 10 fő számára szolgálhat fel grillezett ételeket. Egy rögzített oldalsó asztal és egy oldalsó égő is tartozéka a Spring 3212-nek. Az oldalsó égő például szószok vagy köretek készítésére lehet hasznos. Ezenkívül a készülék ajtóval ellátott tárolóhellyel is rendelkezik. Jó tudni, hogy ezt a gázgrillt kombinálhatja a Barbecook forgónyárs készletével is.
Ne elégedjen meg a középszerű minőséggel! Válassza a Barbecook BC-GAS-2003 Spring 3212 gázgrillt, így a szezon teljes ideje alatt a szabadban grillezhet.</t>
        </is>
      </c>
    </row>
    <row r="9">
      <c r="A9" s="3" t="inlineStr">
        <is>
          <t>GRG01</t>
        </is>
      </c>
      <c r="B9" s="2" t="inlineStr">
        <is>
          <t>Home GRG01 gázgrill, 3 főégővel, 1 oldalégővel, 3,2 kW teljesítmény égőnként, nyomásszabályozó készlettel</t>
        </is>
      </c>
      <c r="C9" s="1" t="n">
        <v>117990.0</v>
      </c>
      <c r="D9" s="7" t="n">
        <f>HYPERLINK("https://www.somogyi.hu/product/home-grg01-gazgrill-3-foegovel-1-oldalegovel-3-2-kw-teljesitmeny-egonkent-nyomasszabalyozo-keszlettel-grg01-19070","https://www.somogyi.hu/product/home-grg01-gazgrill-3-foegovel-1-oldalegovel-3-2-kw-teljesitmeny-egonkent-nyomasszabalyozo-keszlettel-grg01-19070")</f>
        <v>0.0</v>
      </c>
      <c r="E9" s="7" t="n">
        <f>HYPERLINK("https://www.somogyi.hu/data/img/product_main_images/small/19070.jpg","https://www.somogyi.hu/data/img/product_main_images/small/19070.jpg")</f>
        <v>0.0</v>
      </c>
      <c r="F9" s="2" t="inlineStr">
        <is>
          <t>5999084970635</t>
        </is>
      </c>
      <c r="G9" s="4" t="inlineStr">
        <is>
          <t>Hogyan varázsolható egy hétköznapi kerti sütögetés profi grillezési élménnyé?
 A Home GRG01 gázgrill ideális választás mindazoknak, akik megbízható, nagy teljesítményű és könnyen kezelhető kültéri grillezőt keresnek. A készülék három külön vezérelhető főégővel és egy praktikus oldalégővel rendelkezik, így egyszerre több fogás is elkészíthető – legyen szó húsokról, zöldségekről vagy akár szószokról. A letisztult design, a porszórt acél készülékház és a beépített hőmérő a stílusos és hatékony kerti sütés minden elvárásának megfelel.
Teljesítményre tervezve
A grill három darab főégővel van felszerelve, melyek egyenként 3,2 kW teljesítményt biztosítanak. A középső égő piezo gyújtással egyszerűen beindítható, megbízható működést garantálva minden alkalommal. A további kényelmet és sokoldalúságot növeli a 3,2 kW teljesítményű oldalsó gázégő, amely szintén piezo gyújtású – ideális kiegészítő szószok, köretek vagy előételek elkészítéséhez a főételek mellett.
Praktikus és jól kialakított sütőtér
A 530 x 400 mm méretű sütőfelület két krómozott acél sütőrácsból áll, melyek könnyen tisztán tarthatók és hosszú élettartamot biztosítanak. A beépített melegen tartó rács segít az ételek megfelelő hőmérsékleten tartásában, így minden fogás egyszerre tálalható. A grill porszórt borítása időjárásálló, tartós, és modern megjelenést kölcsönöz a készüléknek.
Kényelmes és biztonságos használat
A grill tartozékként egy nyomáscsökkentő készlettel érkezik, amely LPG gázkeverékhez, 30 mbar névleges nyomással lett tervezve. A W21,8x1/14” bal menetes gázpalackcsatlakozás ipari szabványnak megfelelő, biztonságos rögzítést kínál. A hőmérséklet-szabályozás egyszerű a fedélbe integrált hőmérő segítségével, míg a kihúzható, horganyzott zsírgyűjtő tálca tisztán tartja a belső részt, és megkönnyíti a karbantartást.
Miért érdemes a Home GRG01 gázgrill mellett dönteni?
- Három erős főégő és egy oldalsó égő – párhuzamos főzés, gyors elkészítés 
- Nagyméretű, krómozott sütőfelület – akár nagyobb társaság számára is 
- Hőmérő a fedélben és piezo gyújtás – pontos, biztonságos szabályozás 
- Tartozék nyomásszabályozó és tömlő – azonnal üzembe helyezhető 
- Strapabíró, időtálló kivitel – hosszú távú grillezési élmény
Tegye emlékezetessé a nyári estéket és hétvégi kerti összejöveteleket! A Home GRG01 gázgrill megbízható teljesítményével és intelligens kialakításával tökéletes társ minden grillmester számára. Válassza ezt a stílusos és sokoldalú eszközt, és élvezze az igazi grillezési szabadságot minden évszakban!</t>
        </is>
      </c>
    </row>
    <row r="10">
      <c r="A10" s="3" t="inlineStr">
        <is>
          <t>BC-GAS-2002</t>
        </is>
      </c>
      <c r="B10" s="2" t="inlineStr">
        <is>
          <t>Barbecook BC-GAS-2002 Spring 3112 gázgrill, tárolóval, 133x57x115cm</t>
        </is>
      </c>
      <c r="C10" s="1" t="n">
        <v>169990.0</v>
      </c>
      <c r="D10" s="7" t="n">
        <f>HYPERLINK("https://www.somogyi.hu/product/barbecook-bc-gas-2002-spring-3112-gazgrill-taroloval-133x57x115cm-bc-gas-2002-18752","https://www.somogyi.hu/product/barbecook-bc-gas-2002-spring-3112-gazgrill-taroloval-133x57x115cm-bc-gas-2002-18752")</f>
        <v>0.0</v>
      </c>
      <c r="E10" s="7" t="n">
        <f>HYPERLINK("https://www.somogyi.hu/data/img/product_main_images/small/18752.jpg","https://www.somogyi.hu/data/img/product_main_images/small/18752.jpg")</f>
        <v>0.0</v>
      </c>
      <c r="F10" s="2" t="inlineStr">
        <is>
          <t>5400269209308</t>
        </is>
      </c>
      <c r="G10" s="4" t="inlineStr">
        <is>
          <t>Szeretne egy gázgrillt, amely könnyen kezelhető és sokoldalú? A Barbecook Spring 3112 gázgrill tökéletes választás azok számára, akik a teljes kerti főzési élményt szeretnék élvezni, de közben nagyra értékelik a kényelmet és a kontrollt. Ez a gázgrill tökéletes választás lehet a BBQ rajongók számára, akik különböző ételeket szeretnének készíteni egyszerűen és gyorsan.
A Spring 3112 gázgrill előnyei
A Spring 3112 gázgrill számos előnnyel rendelkezik. Gyorsan és egyszerűen meggyújtható, így nem kell időt veszítenie, rögtön kezdheti a grillezést. Megbízható eszköz, amellyel számos ételt készíthet: klasszikus BBQ kolbászt, pizzát vagy akár süteményt is. A zománcozott öntöttvas fedél és a beépített hőmérő segítségével maximális kontrollt tarthat a készüléke felett. A Spring 3112 gázgrill rácsai zománcozott öntöttvasból készültek, amelyek tökéletesen és egyenletesen sütik meg az összetevőket. Ha több összetevőt grillez egyszerre, és az egyik már kész, egyszerűen helyezze azt a melegen tartó rácsra, míg a többi elkészül! A fsütésből származó zsírok egy mosogatógépben tisztítható csepegtetőedényben gyűlnek össze, amely a gázgrillbe van integrálva. A Spring 3112 gázgrill két kerékkel rendelkezik, így könnyen mozgatható.
Hogyan működik a Spring 3112 gázgrill?
A Spring 3112 gázgrill meggyújtása rendkívül egyszerű. Először nyissa ki a gázgrill fedelét, majd nyissa meg a gázpalack szelepét. Hagyja, hogy a gáz keringjen a gázgrill belsejében. Ezután fordítsa a szabályozógombokat a legmagasabb állásba. Ezek a különböző égőfejekhez vannak csatlakoztatva. Amikor látja a lángot, zárja be a fedelet, és hagyja, hogy a készülék körülbelül 10-15 percig melegedjen. Ezután kezdődhet a grillezés! Gázgrillezés esetén javasolt propángázt használni. Ne felejtsen el hozzáillő gázszabályozót vásárolni, amely csökkenti a gázpalack nyomását. Győződjön meg róla, hogy rendszeresen ellenőrzi a gázcső lejárati dátumát. A szokásos gázcsövek élettartama 5-10 év.
A Spring 3112 gázgrill összegezve
A Spring 3112 gázgrill három égőfejjel és három ráccsal rendelkezik, mindegyik 21x43cm méretű. Ezzel a készülékkel körülbelül 10 személy számára grillezhet. A Spring 3112 gázgrill egy fix oldalasztallal rendelkezik. A másik oldalon egy beépített szervírozótál található. Továbbá a készülék egy ajtóval zárható tárolóval van felszerelve. 
Válassza a Barbecook Spring 3112 gázgrillt hogy Ön, családja valamint barátai mindig a megfelelő minőségű grill ételeket fogyaszthassák.</t>
        </is>
      </c>
    </row>
    <row r="11">
      <c r="A11" s="3" t="inlineStr">
        <is>
          <t>GRG02</t>
        </is>
      </c>
      <c r="B11" s="2" t="inlineStr">
        <is>
          <t>Home GRG02 gázgrill, 2 főégővel, 1 oldalégővel, 3,2 kW égőnkénti teljesítmény, 440x400 mm sütőfelület, nyomásszabályozó készlettel</t>
        </is>
      </c>
      <c r="C11" s="1" t="n">
        <v>97290.0</v>
      </c>
      <c r="D11" s="7" t="n">
        <f>HYPERLINK("https://www.somogyi.hu/product/home-grg02-gazgrill-2-foegovel-1-oldalegovel-3-2-kw-egonkenti-teljesitmeny-440x400-mm-sutofelulet-nyomasszabalyozo-keszlettel-grg02-19071","https://www.somogyi.hu/product/home-grg02-gazgrill-2-foegovel-1-oldalegovel-3-2-kw-egonkenti-teljesitmeny-440x400-mm-sutofelulet-nyomasszabalyozo-keszlettel-grg02-19071")</f>
        <v>0.0</v>
      </c>
      <c r="E11" s="7" t="n">
        <f>HYPERLINK("https://www.somogyi.hu/data/img/product_main_images/small/19071.jpg","https://www.somogyi.hu/data/img/product_main_images/small/19071.jpg")</f>
        <v>0.0</v>
      </c>
      <c r="F11" s="2" t="inlineStr">
        <is>
          <t>5999084970642</t>
        </is>
      </c>
      <c r="G11" s="4" t="inlineStr">
        <is>
          <t>Hogyan lehet élvezetesebb és kényelmesebb a szabadtéri grillezés, ha egy megbízható és erőteljes gázgrill áll rendelkezésre? 
A Home GRG02 gázgrill a tökéletes választás azok számára, akik kiváló teljesítményre, praktikus kialakításra és megbízható működésre vágynak egyetlen készülékben. Ez a 2 főégővel és 1 oldalégővel felszerelt grill minden kültéri főzéshez biztosítja a kellő hőfokot és rugalmasságot, legyen szó családi ebédről, baráti grillezésről vagy egy nyári kerti partiról.
Hatékony hőelosztás, megbízható működés
A GRG02 gázgrill két darab, egyenként 3,2 kW teljesítményű főégővel rendelkezik, amelyeket bal oldalon található piezo gyújtással lehet beindítani – így a begyújtás gyors és biztonságos. A 3,2 kW-os oldalsó égő ideális köretek, szószok vagy forró italok elkészítéséhez anélkül, hogy el kellene hagyni a grillezőtér közelét. A 440 x 400 mm-es sütőfelület elegendő helyet biztosít több adag étel elkészítéséhez egyidejűleg, amit a krómozott acélból készült dupla sütőrács és a melegen tartó ráccsal ellátott felső szint tesz még kényelmesebbé.
Praktikus kialakítás, strapabíró szerkezet
A porszórt acél készülékház ellenáll az időjárás viszontagságainak, míg a horganyzott, kihúzható zsírgyűjtő tálca megkönnyíti a tisztítást. A fedélbe integrált hőmérő segítségével mindig pontosan nyomon követhető a belső hőfok, így az ételek mindig a kívánt állagban készülnek el. A készülék praktikus tárolókosárral is rendelkezik, amely ideális fűszerek, eszközök vagy egyéb grillkiegészítők elhelyezésére.
Komplett csatlakozókészlet – azonnali használatra
A GRG02 gázgrillhez nyomáscsökkentő és tömlő is tartozik, amely LPG gázkeverékhez alkalmas. A gázpalackhoz való csatlakozás W21,8x1/14” bal menetes, a rendszer pedig 30 mbar névleges csökkentett gáznyomással üzemel. A -20 és +50 °C közötti hőmérsékleti tartományban is megbízhatóan működik, így akár kora tavasztól késő őszig is használható.
Miért érdemes a Home GRG02 gázgrillt választani?
- Erőteljes égők: 2 főégő + 1 oldalégő, mindegyik 3,2 kW teljesítménnyel
- Tágas, jól kihasználható sütőfelület: 440 x 400 mm, két krómozott rács és melegen tartó állvány
- Tartós kialakítás: porszórt fémház, hőálló anyagok, beépített hőmérő
- Komplett tartozékkal szállítva: nyomáscsökkentő, tömlő, tárolókosár
- Egyszerű tisztítás: kihúzható, horganyzott zsírgyűjtő tálca
- Ideális kültéri használatra, megbízhatóan működik akár hűvösebb időjárásban is
Ne érje be kevesebbel, ha a kerti grillezésről van szó! A Home GRG02 gázgrill megbízható társ minden alkalomra, legyen szó családi vacsoráról vagy nagyobb baráti összejövetelről – élvezze a grillezés élményét kompromisszumok nélkül!</t>
        </is>
      </c>
    </row>
    <row r="12">
      <c r="A12" s="3" t="inlineStr">
        <is>
          <t>BC-GAS-2000</t>
        </is>
      </c>
      <c r="B12" s="2" t="inlineStr">
        <is>
          <t>Barbecook BC-GAS-2000 Spring 3002 gázgrill, 133x57x115cm</t>
        </is>
      </c>
      <c r="C12" s="1" t="n">
        <v>163990.0</v>
      </c>
      <c r="D12" s="7" t="n">
        <f>HYPERLINK("https://www.somogyi.hu/product/barbecook-bc-gas-2000-spring-3002-gazgrill-133x57x115cm-bc-gas-2000-18745","https://www.somogyi.hu/product/barbecook-bc-gas-2000-spring-3002-gazgrill-133x57x115cm-bc-gas-2000-18745")</f>
        <v>0.0</v>
      </c>
      <c r="E12" s="7" t="n">
        <f>HYPERLINK("https://www.somogyi.hu/data/img/product_main_images/small/18745.jpg","https://www.somogyi.hu/data/img/product_main_images/small/18745.jpg")</f>
        <v>0.0</v>
      </c>
      <c r="F12" s="2" t="inlineStr">
        <is>
          <t>5400269209285</t>
        </is>
      </c>
      <c r="G12" s="4" t="inlineStr">
        <is>
          <t>Szereti a gyors és egyszerű grillezést anélkül, hogy kompromisszumot kellene kötnie a sokoldalúság terén? Akkor a Barbecook BC-GAS-2000 Spring 3002 gázgrill pontosan Önnek való! 
Ez a gázgrill a nagyon felhasználóbarát, a sokféleség mintaképe. A Barbecook különböző gázgrill modelljei közül a Spring sorozat kiemelkedik minőségével, könnyű használatával és gyönyörű megjelenésével. A Spring 3002-es modell a Spring sorozat egyik kiemelt tagja, többféle formátumban elérhető: Spring 2002, 3002, 3112 és 3212.
A Spring 3002 gázgrill előnyei közé tartozik az egyszerű és gyors gyújtás, ami lehetővé teszi, hogy azonnal elkezdje a grillezést. Ez a típusú grill kiválóan alkalmas számos különböző étel elkészítésére: legyen szó klasszikus BBQ kolbászról, pizzáról vagy akár süteményről. A zománcozott fedél és a beépített hőmérő segítségével maximális kontrollt biztosít ételei felett. A Spring 3002 gázgrill rácsai zománcozott öntöttvasból készültek, tökéletesek az alapanyagok egyenletes és jól sütéséhez. Ha több alapanyagot grillez egyszerre, és az egyik már elkészült, egyszerűen helyezze a melegen tartó rácsra, amíg a többi is megsül. A lecsöpögő zsír egy mosogatógépben mosható csepegtető tálcába gyűlnek össze, ami a grill része. A Spring 3002 gázgrill két kerékkel van ellátva, így könnyen mozgatható.
A Spring 3002 gázgrill használata rendkívül egyszerű. Nyissa ki a grill fedelét, nyissa meg a gázpalack csapját, és hagyja, hogy áramoljon a grillben a gáz. Ezután tekerje a vezérlőgombokat a legmagasabb állásba. Amikor látja a lángot, zárja be a fedelet, és hagyja a készüléket felmelegedni kb. 10-15 percig. Ezután kezdődhet a grillezés! A gázgrill használata során ajánlott propán gázt használni, és ne felejtse el a megfelelő gázszabályozót beszerezni, ami csökkenti a gázpalack nyomását.
A Spring 3002 gázgrill műszaki adatai: Három égővel és három, 21 cm x 43 cm méretű ráccsal rendelkezik, amellyel körülbelül 10 fő számára szolgálhat fel finomságokat. Két fix oldalsó asztallal rendelkezik, amelyek kényelmes helyet biztosítanak a kiegészítőknek, fűszereknek vagy hozzávalókkal teli tányéroknak. Ezen felül kombinálható a Barbecook forgónyárs készletével is, így még több lehetőséget kínálva a grillezés során.
Ne érje be kevesebbel! A Barbecook Spring 3002 megfelelő társ a grillezésben.</t>
        </is>
      </c>
    </row>
    <row r="13">
      <c r="A13" s="3" t="inlineStr">
        <is>
          <t>BC-GAS-2036</t>
        </is>
      </c>
      <c r="B13" s="2" t="inlineStr">
        <is>
          <t>Barbecook BC-GAS-2036 Stella 3201 gázgrill, tárolóval, oldalégővel, 174x59x119cm</t>
        </is>
      </c>
      <c r="C13" s="1" t="n">
        <v>247990.0</v>
      </c>
      <c r="D13" s="7" t="n">
        <f>HYPERLINK("https://www.somogyi.hu/product/barbecook-bc-gas-2036-stella-3201-gazgrill-taroloval-oldalegovel-174x59x119cm-bc-gas-2036-18781","https://www.somogyi.hu/product/barbecook-bc-gas-2036-stella-3201-gazgrill-taroloval-oldalegovel-174x59x119cm-bc-gas-2036-18781")</f>
        <v>0.0</v>
      </c>
      <c r="E13" s="7" t="n">
        <f>HYPERLINK("https://www.somogyi.hu/data/img/product_main_images/small/18781.jpg","https://www.somogyi.hu/data/img/product_main_images/small/18781.jpg")</f>
        <v>0.0</v>
      </c>
      <c r="F13" s="2" t="inlineStr">
        <is>
          <t>5400269210526</t>
        </is>
      </c>
      <c r="G13" s="4" t="inlineStr">
        <is>
          <t>Szeretne egy könnyen használható és sokoldalú gázgrillt, amely minden grillezési igényt kielégít? A Barbecook BC-GAS-2036 Stella 3201 gázgrill a tökéletes választás azok számára, akik az összetett kültéri főzési élményt szeretnék megvalósítani, miközben fontos számukra a kényelem is. 
A Barbecook különböző gázgrill modelljei közül a Stella sorozat kiemelkedik minőségével, gyönyörű megjelenésével és egyszerű használatával. A Stella sorozaton belül három különböző modell közül választhat: Stella 3201, Stella 3221 és Stella 4311.
Mi teszi különlegessé a Stella 3201 gázgrillt? A Barbecook Stella gázgrillje kétségtelenül egy fantasztikus termék: gyönyörű, matt fekete bevonattal és ezüstszínű részletekkel, rendkívül felhasználóbarát és a legmagasabb minőségű. Ez a gázgrill 1-2-3 fokozatban gyújtható be és kivételesen jó grillezési eredményt garantál. Zománcozott öntöttvas rácsokkal rendelkezik, és a központi, legmelegebb rész - a Dynamic Core Grill - úgy van kialakítva, hogy a rács eltávolítható és helyettesíthető hasznos eszközökkel, mint például pizzalap vagy főzőlap. Röviden, a Stella gázgrillel szinte minden lehetséges! A zománcozott, duplafalú fedél és a beépített hőmérőnek köszönhetően maximálisan Öné az irányítás. Nem minden alapanyag sütési ideje azonos, így néhány étel hamarabb készül el, mint a többi. Ez nem probléma. A már elkészült ételeket melegen tarthatja a gázgrillben kialakított különleges melegentartó rácson. A grillezés során sok zsír keletkezhet, mely az eszköz beépített csepegtető tálcájában gyűlik össze. A BBQ munkamenet után egyszerűen helyezze a csepegtető tálcát a mosogatógépbe. Jó tudni, hogy az összes Stella gázgrill modell kombinálható a Barbecook forgónyárs készletével.
Hogyan működik a Stella 3201 gázgrill? A Stella 3201 gázgrill beindítása rendkívül egyszerű. Először nyissa ki a gázgrill fedelét, majd nyissa meg a gázpalack csapját. Hagyja, hogy a gáz áramoljon a gázgrillben. Ezután fordítsa a vezérlőgombokat a legmagasabb állásba. Ezek az egyes égőkhöz vannak csatlakoztatva. Amikor látja a lángot, zárja be a fedelet, és hagyja, hogy a készülék körülbelül 10-15 percig felmelegedjen. Ezután kezdődhet a grillezés! A gázgrillezés során ajánlott propán gázt használni. Ne felejtse el megvásárolni a megfelelő gázszabályozót. Ez csökkenti a gázpalack nyomását. A gázpalackban lévő nyomás gyakran sokkal magasabb, mint amire a grillnek szüksége van. Győződjön meg róla, hogy rendszeresen ellenőrzi a gázcső dátumát. A szabványos gázcsövek élettartama 5-10 év.
A Stella 3201 gázgrill műszaki adatai: A Stella 3201 gázgrillel akár 14 személyt is kiszolgálhat. Ez a modell három égővel és három ráccsal rendelkezik, egyik mérete 35x43 cm, a másik kettőé 17x43 cm. Ezenkívül a gázgrill egy extra hosszú, összecsukható oldalsó asztallal is rendelkezik, amelyen három kiegészítő horog található. A Stella 3201 gázgrill egy oldalsó égőt is kapott amely ideális szószok vagy köretek elkészítésére. Ezt a modellt a készülék alján lévő négy keréknek köszönhetően könnyen mozgathatja. Továbbá a Stella 3201 gázgrill ajtókkal és tárolóhellyel felszerelt szekrénnyel van ellátva.
Na hagyja ki a grillszezont sütő hiányában. Vendégelje meg barátait, családját egy kis szabadtéri sütögetésre. Ebben hű társa lesz a Barbecook Stella 3201.</t>
        </is>
      </c>
    </row>
    <row r="14">
      <c r="A14" s="3" t="inlineStr">
        <is>
          <t>PWS-000291-01</t>
        </is>
      </c>
      <c r="B14" s="2" t="inlineStr">
        <is>
          <t>Cavagna Type 694 nyomásszabályozó szett, PB gázpalackhoz, 30 mbar nyomásig, 130cm hossz</t>
        </is>
      </c>
      <c r="C14" s="1" t="n">
        <v>4590.0</v>
      </c>
      <c r="D14" s="7" t="n">
        <f>HYPERLINK("https://www.somogyi.hu/product/cavagna-type-694-nyomasszabalyozo-szett-pb-gazpalackhoz-30-mbar-nyomasig-130cm-hossz-pws-000291-01-18167","https://www.somogyi.hu/product/cavagna-type-694-nyomasszabalyozo-szett-pb-gazpalackhoz-30-mbar-nyomasig-130cm-hossz-pws-000291-01-18167")</f>
        <v>0.0</v>
      </c>
      <c r="E14" s="7" t="n">
        <f>HYPERLINK("https://www.somogyi.hu/data/img/product_main_images/small/18167.jpg","https://www.somogyi.hu/data/img/product_main_images/small/18167.jpg")</f>
        <v>0.0</v>
      </c>
      <c r="F14" s="2" t="inlineStr">
        <is>
          <t>5999084961893</t>
        </is>
      </c>
      <c r="G14" s="4" t="inlineStr">
        <is>
          <t>Megbízható és biztonságos megoldást a PB-gáz palackja üzemeltetéséhez? A Cavagna Type 694 nyomásszabályozó szett tökéletes választás! 
Ez a kiváló minőségű készlet tartalmazza a gyárilag beszabályozott nyomáscsökkentőt, amely 30 mbar kimeneti nyomásra csökkenti a háztartási palackba töltött PB gáz nyomását. A szettben található egy 1,2 méter hosszú speciális műanyagköpenyes gumitömlő és két darab szorítóbilincs, amelyek segítségével biztonságosan csatlakoztathatja például a Barbecook grillkészülékét a PB-gáz palackhoz.
A belépő csatlakozás W 21,8 x 1/14" belső menetes LH, amely a legtöbb standard PB-gáz palackhoz illeszkedik. A tömlő fúvóka átmérője 11,7 mm, ami szintén szabványos méret, biztosítva a széleskörű kompatibilitást. A készülék belépő nyomása maximum 16 bar, így biztosítva a nagyobb biztonsági tartományt. Mindezek mellett a nyomásszabályozó -0 °C és +50 °C közötti hőmérsékleten használható, tehát szélsőséges időjárási körülmények között is megbízhatóan működik.
A készülék kompakt méretei - hosszúsága 1300 mm, szélessége 60 mm, magassága pedig 30 mm - lehetővé teszik a könnyű tárolást és szállítást. A szett súlya mindössze 0.46 kg, így nem jelent terhet a használat során. A Cavagna Type 694 nyomásszabályozó szett kiváló választás mindazok számára, akik biztonságosan és hatékonyan szeretnék használni PB-gáz palackjukat.
Ne hagyja ki ezt a kiváló lehetőséget, hogy biztonságosan és hatékonyan használhassa PB-gáz palackját! Vásárolja meg most a Cavagna Type 694 nyomásszabályozó szettet, és élvezze a nyugodt és problémamentes működést.</t>
        </is>
      </c>
    </row>
    <row r="15">
      <c r="A15" s="3" t="inlineStr">
        <is>
          <t>BC-GAS-2018</t>
        </is>
      </c>
      <c r="B15" s="2" t="inlineStr">
        <is>
          <t>Barbecook BC-GAS-2018 Siesta 310 Black Edition gázgrill, oldalégővel, 124x56x120cm</t>
        </is>
      </c>
      <c r="C15" s="1" t="n">
        <v>197990.0</v>
      </c>
      <c r="D15" s="7" t="n">
        <f>HYPERLINK("https://www.somogyi.hu/product/barbecook-bc-gas-2018-siesta-310-black-edition-gazgrill-oldalegovel-124x56x120cm-bc-gas-2018-18747","https://www.somogyi.hu/product/barbecook-bc-gas-2018-siesta-310-black-edition-gazgrill-oldalegovel-124x56x120cm-bc-gas-2018-18747")</f>
        <v>0.0</v>
      </c>
      <c r="E15" s="7" t="n">
        <f>HYPERLINK("https://www.somogyi.hu/data/img/product_main_images/small/18747.jpg","https://www.somogyi.hu/data/img/product_main_images/small/18747.jpg")</f>
        <v>0.0</v>
      </c>
      <c r="F15" s="2" t="inlineStr">
        <is>
          <t>5400269207496</t>
        </is>
      </c>
      <c r="G15" s="4" t="inlineStr">
        <is>
          <t>Szeretne egy olyan gázgrillt, ami könnyű használatot és sokoldalúságot nyújt egyben? A Barbecook BC-GAS-2018 Siesta 310 Black Edition gázgrill a tökéletes választás azok számára, akik teljes értékű kültéri főzési élményt keresnek, anélkül, hogy le kellene mondaniuk a kényelemről és a kontrollról. 
A Barbecook különféle gázgrill modellt kínál, mindegyikük kiváló minőségű, gyönyörű megjelenésű és könnyen használható. A Siesta a Barbecook gázgrill sorozatának egyik tagja. A Siesta sorozaton belül négy különböző típust talál: Siesta 210, Siesta 310, Siesta 412 és Siesta 612.
A Siesta 310 gázgrill előnyei közé tartozik a stílus, a funkciók és a felhasználóbarát kezelés. Ez a magas minőségű gázgrill tartós bevonattal, tökéletes választás azok számára, akik sokféle ételt szeretnének grillen elkészíteni. A Siesta 310 gázgrillel 10 percen belül kezdheti a grillezést. A duplafalú, zománcozott fedél állandó hőmérsékletet biztosít a gázgrill belsejében. Ráadásul a beépített hőmérőnek köszönhetően könnyen ellenőrizheti a hőmérsékletet. A rácsok zománcozott öntöttvasból készültek, rendkívül magas minőségű anyagból, ideális az alapanyagok egyenletes és jó sütéséhez. A Siesta 310 gázgrill fantasztikus extra funkciója a Dynamic Core Grill. Ez a BBQ központi, legmelegebb része. Úgy tervezték, hogy a grillrács kivehető és helyettesíthető hasznos tartozékokkal, például pizzalappal vagy sütőlappal. Még több lehetőség! Helyezze a már elkészült hozzávalókat a gázgrill melegen tartó rácsára, miközben várja a többi alapanyag elkészültét. 
Az ételek zsírját egy könnyen eltávolítható és mosogatógépben mosható csepegtető tálca gyűjti össze. Megszomjazott a grillezés közben? Semmi probléma, köszönhetően a beépített sörnyitónak azonnal élvezheti a felfrissülést! Jó tudni, hogy a Siesta 310 gázgrill kombinálható a Barbecook forgónyárs készletével is.
A Siesta 310 gázgrill működése rendkívül egyszerű. Először nyissa ki a gázgrill fedelét, majd nyissa meg a gázpalack csapját. Engedje, hogy a gáz áramoljon a gázgrillben. Ezután fordítsa a vezérlőgombokat a legmagasabb állásba. Ezek az egyes égőkhöz vannak kapcsolva. Amikor látja a lángot, zárja be a fedelet és hagyja, hogy a készülék körülbelül 10-15 percig felmelegedjen. Ezután kezdődhet a grillezés! A gázgrill használatakor ajánlott propán gázt használni. Ne felejtse el megvásárolni a megfelelő gázszabályozót. Ez csökkenti a gázpalack nyomását. A gázpalackban lévő nyomás gyakran sokkal magasabb, mint amire a grillnek szüksége van. Rendszeresen ellenőrizze a gázcső dátumát. A szabványos gázcsövek élettartama 5-10 év.
A Siesta 310 gázgrill műszaki adatai: A Siesta 310 gázsütővel akár 12 főt is kiszolgálhat. Ez a készülék három égővel és három ráccsal rendelkezik, az egyik 35x43 cm, kettő pedig 13,5x43 cm méretű. Ezen kívül ez a gázsütő egy fix asztallal és egy oldalégővel rendelkezik, ideális szószok vagy köretek készítéséhez. A Siesta 310 gázsütő könnyen mozgatható a készülék alján található két nagy keréknek köszönhetően.
Amennyiben egy kompakt de megbízható gázgrillt keres extra funkciókkal, úgy a Siesta 310 lesz Önnek a megfelelő választás.</t>
        </is>
      </c>
    </row>
    <row r="16">
      <c r="A16" s="3" t="inlineStr">
        <is>
          <t>BC-GAS-2038</t>
        </is>
      </c>
      <c r="B16" s="2" t="inlineStr">
        <is>
          <t>Barbecook BC-GAS-2038 Stella 4311 gázgrill, tárolóval, infravörös oldalégővel, 174x59x119cm</t>
        </is>
      </c>
      <c r="C16" s="1" t="n">
        <v>406990.0</v>
      </c>
      <c r="D16" s="7" t="n">
        <f>HYPERLINK("https://www.somogyi.hu/product/barbecook-bc-gas-2038-stella-4311-gazgrill-taroloval-infravoros-oldalegovel-174x59x119cm-bc-gas-2038-18813","https://www.somogyi.hu/product/barbecook-bc-gas-2038-stella-4311-gazgrill-taroloval-infravoros-oldalegovel-174x59x119cm-bc-gas-2038-18813")</f>
        <v>0.0</v>
      </c>
      <c r="E16" s="7" t="n">
        <f>HYPERLINK("https://www.somogyi.hu/data/img/product_main_images/small/18813.jpg","https://www.somogyi.hu/data/img/product_main_images/small/18813.jpg")</f>
        <v>0.0</v>
      </c>
      <c r="F16" s="2" t="inlineStr">
        <is>
          <t>5400269210540</t>
        </is>
      </c>
      <c r="G16" s="4" t="inlineStr">
        <is>
          <t>Szeretne egy könnyen használható és sokoldalú gázgrillt, amely minden grillezési igényt kielégít? A Barbecook BC-GAS-2038 Stella 4311 gázgrill a tökéletes választás azok számára, akik az összetett kültéri főzési élményt szeretnék megvalósítani, miközben fontos számukra a kényelem is. 
A Barbecook különböző gázgrill modelljei közül a Stella sorozat kiemelkedik minőségével, gyönyörű megjelenésével és egyszerű használatával. A Stella sorozaton belül három különböző modell közül választhat: Stella 3201, Stella 3221 és Stella 4311.
Mi teszi különlegessé a Stella 4311 gázgrillt? A Barbecook Stella gázgrillje kétségtelenül egy fantasztikus termék: gyönyörű, matt fekete bevonattal és ezüstszínű részletekkel, rendkívül felhasználóbarát és a legmagasabb minőségű. Ez a gázgrill 1-2-3 fokozatban gyújtható be és kivételesen jó grillezési eredményt garantál. Zománcozott öntöttvas rácsokkal rendelkezik, és a központi, legmelegebb rész - a Dynamic Core Grill - úgy van kialakítva, hogy a rács eltávolítható és helyettesíthető hasznos eszközökkel, mint például pizzalap vagy főzőlap. Röviden, a Stella gázgrillel szinte minden lehetséges! A zománcozott, duplafalú fedél és a beépített hőmérőnek köszönhetően maximálisan Öné az irányítás. Nem minden alapanyag sütési ideje azonos, így néhány étel hamarabb készül el, mint a többi. Ez nem probléma. A már elkészült ételeket melegen tarthatja a gázgrillben kialakított különleges melegentartó rácson. A grillezés során sok zsír keletkezhet, mely az eszköz beépített csepegtető tálcájában gyűlik össze. A BBQ munkamenet után egyszerűen helyezze a csepegtető tálcát a mosogatógépbe. Jó tudni, hogy az összes Stella gázgrill modell kombinálható a Barbecook forgónyárs készletével.
Hogyan működik a Stella 4311 gázgrill? A Stella 4311 gázgrill beindítása rendkívül egyszerű. Először nyissa ki a gázgrill fedelét, majd nyissa meg a gázpalack csapját. Hagyja, hogy a gáz áramoljon a gázgrillben. Ezután fordítsa a vezérlőgombokat a legmagasabb állásba. Ezek az egyes égőkhöz vannak csatlakoztatva. Amikor látja a lángot, zárja be a fedelet, és hagyja, hogy a készülék körülbelül 10-15 percig felmelegedjen. Ezután kezdődhet a grillezés! A gázgrillezés során ajánlott propán gázt használni. Ne felejtse el megvásárolni a megfelelő gázszabályozót. Ez csökkenti a gázpalack nyomását. A gázpalackban lévő nyomás gyakran sokkal magasabb, mint amire a grillnek szüksége van. Győződjön meg róla, hogy rendszeresen ellenőrzi a gázcső dátumát. A szabványos gázcsövek élettartama 5-10 év.
A Stella 4311 gázsütővel akár 14 főt is kiszolgálhat. Ebben a modellben négy égő és három rács található, az egyik 35x43 cm, kettő pedig 17x43 cm méretű. Ezenkívül egy extra hosszú, összecsukható oldalsó asztallal rendelkezik, amelyet három praktikus kiegészítő kampóval láttak el. A Stella 4311 gázsütőnek van egy infravörös oldalsó égője is grillráccsal, amely akár 700°C-ig is fel tud melegedni. Könnyen mozgatható a készülék alján található négy görgőnek köszönhetően. Ezenkívül a Stella 4311 gázsütőn ajtókkal felszerelt tárolóhelyet is talál.
Na hagyja ki a grillszezont sütő hiányában. Vendégelje meg barátait, családját egy kis szabadtéri sütögetésre. Ebben hű társa lesz a Barbecook Stella 4311.</t>
        </is>
      </c>
    </row>
    <row r="17">
      <c r="A17" s="3" t="inlineStr">
        <is>
          <t>BC-GAS-2037</t>
        </is>
      </c>
      <c r="B17" s="2" t="inlineStr">
        <is>
          <t>Barbecook BC-GAS-2037 Stella 3221 gázgrill, tárolóval, oldalégővel, gázpalack tárolóval, 174x59x119cm</t>
        </is>
      </c>
      <c r="C17" s="1" t="n">
        <v>351990.0</v>
      </c>
      <c r="D17" s="7" t="n">
        <f>HYPERLINK("https://www.somogyi.hu/product/barbecook-bc-gas-2037-stella-3221-gazgrill-taroloval-oldalegovel-gazpalack-taroloval-174x59x119cm-bc-gas-2037-18812","https://www.somogyi.hu/product/barbecook-bc-gas-2037-stella-3221-gazgrill-taroloval-oldalegovel-gazpalack-taroloval-174x59x119cm-bc-gas-2037-18812")</f>
        <v>0.0</v>
      </c>
      <c r="E17" s="7" t="n">
        <f>HYPERLINK("https://www.somogyi.hu/data/img/product_main_images/small/18812.jpg","https://www.somogyi.hu/data/img/product_main_images/small/18812.jpg")</f>
        <v>0.0</v>
      </c>
      <c r="F17" s="2" t="inlineStr">
        <is>
          <t>5400269210533</t>
        </is>
      </c>
      <c r="G17" s="4" t="inlineStr">
        <is>
          <t>Szeretne egy könnyen használható és sokoldalú gázgrillt, amely minden grillezési igényt kielégít? A Barbecook BC-GAS-2037 Stella 3221 gázgrill a tökéletes választás azok számára, akik az összetett kültéri főzési élményt szeretnék megvalósítani, miközben fontos számukra a kényelem is. 
A Barbecook különböző gázgrill modelljei közül a Stella sorozat kiemelkedik minőségével, gyönyörű megjelenésével és egyszerű használatával. A Stella sorozaton belül három különböző modell közül választhat: Stella 3201, Stella 3221 és Stella 4311.
Mi teszi különlegessé a Stella 3221 gázgrillt? A Barbecook Stella gázgrillje kétségtelenül egy fantasztikus termék: gyönyörű, matt fekete bevonattal és ezüstszínű részletekkel, rendkívül felhasználóbarát és a legmagasabb minőségű. Ez a gázgrill 1-2-3 fokozatban gyújtható be és kivételesen jó grillezési eredményt garantál. Zománcozott öntöttvas rácsokkal rendelkezik, és a központi, legmelegebb rész - a Dynamic Core Grill - úgy van kialakítva, hogy a rács eltávolítható és helyettesíthető hasznos eszközökkel, mint például pizzalap vagy főzőlap. Röviden, a Stella gázgrillel szinte minden lehetséges! A zománcozott, duplafalú fedél és a beépített hőmérőnek köszönhetően maximálisan Öné az irányítás. Nem minden alapanyag sütési ideje azonos, így néhány étel hamarabb készül el, mint a többi. Ez nem probléma. A már elkészült ételeket melegen tarthatja a gázgrillben kialakított különleges melegentartó rácson. A grillezés során sok zsír keletkezhet, mely az eszköz beépített csepegtető tálcájában gyűlik össze. A BBQ munkamenet után egyszerűen helyezze a csepegtető tálcát a mosogatógépbe. Jó tudni, hogy az összes Stella gázgrill modell kombinálható a Barbecook forgónyárs készletével.
Hogyan működik a Stella 3221 gázgrill? A Stella 3221 gázgrill beindítása rendkívül egyszerű. Először nyissa ki a gázgrill fedelét, majd nyissa meg a gázpalack csapját. Hagyja, hogy a gáz áramoljon a gázgrillben. Ezután fordítsa a vezérlőgombokat a legmagasabb állásba. Ezek az egyes égőkhöz vannak csatlakoztatva. Amikor látja a lángot, zárja be a fedelet, és hagyja, hogy a készülék körülbelül 10-15 percig felmelegedjen. Ezután kezdődhet a grillezés! A gázgrillezés során ajánlott propán gázt használni. Ne felejtse el megvásárolni a megfelelő gázszabályozót. Ez csökkenti a gázpalack nyomását. A gázpalackban lévő nyomás gyakran sokkal magasabb, mint amire a grillnek szüksége van. Győződjön meg róla, hogy rendszeresen ellenőrzi a gázcső dátumát. A szabványos gázcsövek élettartama 5-10 év.
A Stella 3221 gázsütővel akár 14 főt is kiszolgálhat. Ez a modell három égővel és három ráccsal rendelkezik, egy 35x43 cm, kettő pedig 17x43 cm méretű. Ezen kívül egy extra hosszú, összecsukható oldalsó asztallal is rendelkezik, amely három praktikus kiegészítő kampóval van ellátva. A Stella 3221 gázsütőnek van oldalégője is, amely ideális szószok vagy köretek készítéséhez. Könnyen mozgatható a készülék alján található négy keréknek köszönhetően. Ezenkívül a Stella 3221 gázsütőnek két hatalmas fiókja van és egy külön gázpalackos szekrény is helyet kapott.
Na hagyja ki a grillszezont sütő hiányában. Vendégelje meg barátait, családját egy kis szabadtéri sütögetésre. Ebben hű társa lesz a Barbecook Stella 3221.</t>
        </is>
      </c>
    </row>
    <row r="18">
      <c r="A18" s="6" t="inlineStr">
        <is>
          <t xml:space="preserve">   Grillezés / Faszenes grill</t>
        </is>
      </c>
      <c r="B18" s="6" t="inlineStr">
        <is>
          <t/>
        </is>
      </c>
      <c r="C18" s="6" t="inlineStr">
        <is>
          <t/>
        </is>
      </c>
      <c r="D18" s="6" t="inlineStr">
        <is>
          <t/>
        </is>
      </c>
      <c r="E18" s="6" t="inlineStr">
        <is>
          <t/>
        </is>
      </c>
      <c r="F18" s="6" t="inlineStr">
        <is>
          <t/>
        </is>
      </c>
      <c r="G18" s="6" t="inlineStr">
        <is>
          <t/>
        </is>
      </c>
    </row>
    <row r="19">
      <c r="A19" s="3" t="inlineStr">
        <is>
          <t>GR02</t>
        </is>
      </c>
      <c r="B19" s="2" t="inlineStr">
        <is>
          <t>Home GR02 fedeles gömbgrill, faszén, faszénbrikett, zománcozott acél tűztér, krómozott acél rostély, korrózióálló, rozsdamentes hamugyűjtő tálca</t>
        </is>
      </c>
      <c r="C19" s="1" t="n">
        <v>20190.0</v>
      </c>
      <c r="D19" s="7" t="n">
        <f>HYPERLINK("https://www.somogyi.hu/product/home-gr02-fedeles-gombgrill-faszen-faszenbrikett-zomancozott-acel-tuzter-kromozott-acel-rostely-korrozioallo-rozsdamentes-hamugyujto-talca-gr02-18395","https://www.somogyi.hu/product/home-gr02-fedeles-gombgrill-faszen-faszenbrikett-zomancozott-acel-tuzter-kromozott-acel-rostely-korrozioallo-rozsdamentes-hamugyujto-talca-gr02-18395")</f>
        <v>0.0</v>
      </c>
      <c r="E19" s="7" t="n">
        <f>HYPERLINK("https://www.somogyi.hu/data/img/product_main_images/small/18395.jpg","https://www.somogyi.hu/data/img/product_main_images/small/18395.jpg")</f>
        <v>0.0</v>
      </c>
      <c r="F19" s="2" t="inlineStr">
        <is>
          <t>5999084964139</t>
        </is>
      </c>
      <c r="G19" s="4" t="inlineStr">
        <is>
          <t>Fedezze fel a grillezés új dimenzióit a Home GR02 fedeles gömbgrill segítségével! Akár faszén, akár faszénbrikett az Ön választása, ez a grill tökéletes társ lesz az udvaron vagy a kertben történő grillezéshez. A zománcozott, könnyen tisztítható fedél és tűztér garantálja, hogy az eszköz évekig megőrzi újszerű állapotát, míg a korrózióállóság hosszú távú befektetést jelent. Méretei, 48 x 87 x 60 cm, ideálisak minden típusú kerti összejövetelhez.
A grill szíve egy 46,5 cm átmérőjű tűztér, melyet zománcozott acélból készítettek, így ellenáll a magas hőmérsékletnek és könnyen tisztítható. A krómozott acélból készült rostély, melynek átmérője 43,5 cm, tökéletes hőeloszlást biztosít a húsok és zöldségek egyenletes sütéséhez. A grill rostély magassága 64 cm-re található a talajtól, kényelmes grillezést tesz lehetővé állva is.
A rozsdamentes hamugyűjtő tálca, a levegőszabályozó korong a fedélen és a tűztér alatt, valamint a három fa fogantyú mind hozzájárulnak a használat egyszerűségéhez és biztonságához. A szürkére porfestett lábak és a könnyedén gördíthető kerekek megkönnyítik a grill mozgatását, így bárhová viheti, ahol csak szeretné. Mindez mindössze 4,7 kg tömegű, így szállítása sem okoz gondot.
Tegyen szert a Home GR02 fedeles gömbgrillre, és élvezze a grillezés minden örömét kényelmesen, stílusosan és hatékonyan. Grillezésre fel, hívja meg barátait vagy családját egy felejthetetlen kerti partira akár még ma!</t>
        </is>
      </c>
    </row>
    <row r="20">
      <c r="A20" s="3" t="inlineStr">
        <is>
          <t>BC-CHA-1022</t>
        </is>
      </c>
      <c r="B20" s="2" t="inlineStr">
        <is>
          <t>Barbecook BC-CHA-1022 Edson faszenes grillhordó, zöld, 47,5cm átmérő</t>
        </is>
      </c>
      <c r="C20" s="1" t="n">
        <v>128990.0</v>
      </c>
      <c r="D20" s="7" t="n">
        <f>HYPERLINK("https://www.somogyi.hu/product/barbecook-bc-cha-1022-edson-faszenes-grillhordo-zold-47-5cm-atmero-bc-cha-1022-18802","https://www.somogyi.hu/product/barbecook-bc-cha-1022-edson-faszenes-grillhordo-zold-47-5cm-atmero-bc-cha-1022-18802")</f>
        <v>0.0</v>
      </c>
      <c r="E20" s="7" t="n">
        <f>HYPERLINK("https://www.somogyi.hu/data/img/product_main_images/small/18802.jpg","https://www.somogyi.hu/data/img/product_main_images/small/18802.jpg")</f>
        <v>0.0</v>
      </c>
      <c r="F20" s="2" t="inlineStr">
        <is>
          <t>5400269209339</t>
        </is>
      </c>
      <c r="G20" s="4" t="inlineStr">
        <is>
          <t>Ön is azok közé tartozik, akik imádnak grillezni, és szeretik a kerti összejöveteleket? Akkor a Barbecook Edson BC-CHA-1022 katonai zöld faszenes grillhordó tökéletes választás az Ön számára!
Ez a faszenes grillező nemcsak hogy ínycsiklandó grillételeket varázsol, hanem bárként is funkcionál, ami ideális a grillezés előtti és utáni italozgatásokhoz. Az Edson faszenes grillező fekete és katonai zöld színben kapható, letisztult és kemény megjelenésével garantáltan a kerti partik középpontjává válik!
Mi teszi az Edson faszenes grillt különlegessé?
Az Edson faszenes grill nem csak jól néz ki, hanem gyorsan és egyszerűen készíthetünk vele finom grillételeket. A Barbecook faszenes gyújtó (BC-ACC-7448) segítségével könnyedén meggyújtható. Nagy, kerek, zománcozott acélból készült grillsütőrácsa van, amely két különböző magasságban helyezhető el, így könnyedén szabályozható a grillezés intenzitása/hőmérséklete. Az Edson faszenes grill gumi lábakkal rendelkezik, így teraszra is könnyedén elhelyezhető anélkül, hogy a rozsdafoltok miatt kellene aggódnunk. A BBQ-parti előtt vagy után az Edson átalakítható egy valódi parti asztallá!
Hogyan működik az Edson faszenes grill?
Az Edson faszenes grillt a Barbecook faszenes gyújtó (BC-ACC-7448) segítségével nagyon könnyű meggyújtani. Helyezzünk néhány gyújtókockát az alsó rácsra, és tegyük rá a faszenes gyújtót. Töltsük meg faszénnel a gyújtót. Gyújtsuk meg a gyújtókockákat az egyik oldalsó lyukon keresztül. A forró levegő átjárja a faszenet. Amint a faszénen szürke hamuréteg képződik, öntsük a grill tálba. Adjunk hozzá némi plusz faszenet vagy néhány brikettet, amíg a tál körülbelül 50%-a megtelik. Kezdődhet a grillezés!
Hogyan tisztítható az Edson faszenes grill?
A grillparti után fontos, hogy az Edson faszenes grillt megtisztítsuk a következő használat előtt. Először is hagyjuk teljesen kihűlni a készüléket. Amikor eltávolítjuk az alsó rácsot, láthatjuk, hogy az Edson faszenes grill hamutartóval van felszerelve. Ebbe söpörjük össze az összes hamut és maradékot. Ezután eltávolíthatjuk a hamutartót, és kiönthetjük egy vödörbe. Mindig alaposan tisztítsuk meg a grillsütőrácsot is. A tisztítás befejezése után helyezzük a fedőt az Edson faszenes grill tetejére, és tároljuk (fedővel) egy száraz, jól szellőző helyiségben.
Az Edson faszenes grill összegezve
Az Edson faszenes grill katonai zöld színben, matt megjelenéssel rendelkezik, fekete betűkkel a "Barbecook" felirattal. Ez igazán figyelemfelkeltő! A faszenes grill magassága 90cm, és egy zománcozott acélból készült kerek sütőráccsal rendelkezik, amelynek átmérője 47,5cm. Az Edson faszenes grill tálja zománcozott acélból, a fedele pedig horganyzott acélból készült. Ezzel a faszenes grillezővel akár 10 vendéget is kiszolgálhatunk!
Ha egy igazán jó grillezést szeretne tartani barátaival, akkor válassza a Barbecook Edson BC-CHA-1022 katonai zöld faszenes grillhordót!</t>
        </is>
      </c>
    </row>
    <row r="21">
      <c r="A21" s="3" t="inlineStr">
        <is>
          <t>10-186-005</t>
        </is>
      </c>
      <c r="B21" s="2" t="inlineStr">
        <is>
          <t>Blim+ 10-186-005 faszénbegyújtó, horganyzott acél, 15cm átmérő, 27cm magasság</t>
        </is>
      </c>
      <c r="C21" s="1" t="n">
        <v>4490.0</v>
      </c>
      <c r="D21" s="7" t="n">
        <f>HYPERLINK("https://www.somogyi.hu/product/blim-10-186-005-faszenbegyujto-horganyzott-acel-15cm-atmero-27cm-magassag-10-186-005-18229","https://www.somogyi.hu/product/blim-10-186-005-faszenbegyujto-horganyzott-acel-15cm-atmero-27cm-magassag-10-186-005-18229")</f>
        <v>0.0</v>
      </c>
      <c r="E21" s="7" t="n">
        <f>HYPERLINK("https://www.somogyi.hu/data/img/product_main_images/small/18229.jpg","https://www.somogyi.hu/data/img/product_main_images/small/18229.jpg")</f>
        <v>0.0</v>
      </c>
      <c r="F21" s="2" t="inlineStr">
        <is>
          <t>5205746123630</t>
        </is>
      </c>
      <c r="G21" s="4" t="inlineStr">
        <is>
          <t>Hogyan gyújthatja be gyorsan és biztonságosan a faszenet a grillezéshez? A Blim+ 10-186-005 faszénbegyújtóval egyszerűen és hatékonyan érheti el a kívánt hőfokot a grillezéshez. 
Ez a praktikus eszköz 15 cm átmérővel és 27 cm magassággal rendelkezik, így elegendő faszenet tud befogadni a gyors begyújtáshoz.
A horganyzott acél anyag biztosítja a tartósságot és az ellenállóságot a magas hőmérsékletekkel szemben. A műanyag fül kényelmes fogást és biztonságos kezelést garantál, míg a hővédő lap extra védelmet nyújt a kezek számára a hővel szemben.
Válassza a Blim+ 10-186-005 faszénbegyújtót, hogy a grillezés mindig könnyedén és biztonságosan induljon! Rendelje meg most, és élvezze a gyors és hatékony begyújtás előnyeit minden grillezés alkalmával!</t>
        </is>
      </c>
    </row>
    <row r="22">
      <c r="A22" s="3" t="inlineStr">
        <is>
          <t>BC-CHA-1005</t>
        </is>
      </c>
      <c r="B22" s="2" t="inlineStr">
        <is>
          <t>Barbecook BC-CHA-1005 Loewy 50 SST rozsdamentes acél faszenes grill, 51,5x56x99cm</t>
        </is>
      </c>
      <c r="C22" s="1" t="n">
        <v>90590.0</v>
      </c>
      <c r="D22" s="7" t="n">
        <f>HYPERLINK("https://www.somogyi.hu/product/barbecook-bc-cha-1005-loewy-50-sst-rozsdamentes-acel-faszenes-grill-51-5x56x99cm-bc-cha-1005-18743","https://www.somogyi.hu/product/barbecook-bc-cha-1005-loewy-50-sst-rozsdamentes-acel-faszenes-grill-51-5x56x99cm-bc-cha-1005-18743")</f>
        <v>0.0</v>
      </c>
      <c r="E22" s="7" t="n">
        <f>HYPERLINK("https://www.somogyi.hu/data/img/product_main_images/small/18743.jpg","https://www.somogyi.hu/data/img/product_main_images/small/18743.jpg")</f>
        <v>0.0</v>
      </c>
      <c r="F22" s="2" t="inlineStr">
        <is>
          <t>5400269205157</t>
        </is>
      </c>
      <c r="G22" s="4" t="inlineStr">
        <is>
          <t>Van kedve egy igazi, hagyományos faszenes grillezéshez, és szeretné egyszerűen használni a grillt? A Barbecook BC-CHA-1005 Loewy 50 SST rozsdamentes acél faszenes grillje nemcsak lenyűgöző dizájnnal rendelkezik, de az állítható magasságú rácsnak köszönhetően intenzív és finom sütést tesz lehetővé három különböző szinten.
Ez a faszenes grill tökéletes kontrollt biztosít a tűz felett az állítható légbevezetéssel, valamint a grillen található szélvédővel. A rozsdamentes acélból készült rács rendkívül tartós és könnyen tisztítható, miközben a QuickStart® és QuickStop rendszerek megkönnyítik a grill gyújtását és biztonságos használatát. A grill aljában található hamugyűjtő is hozzájárul a tisztán tartáshoz, és a masszív tartó kényelmes helyet biztosít a grillezési kiegészítők számára.
A Loewy 50 SST grill kiemelkedő jellemzője a QuickStart® &amp; QuickStop rendszer, amely lehetővé teszi a grill könnyű meggyújtását és biztonságos leállítását. A grill alapját vízzel töltve megkezdhető a grillezés, és a sütés végén a parazsat egyszerűen a vízbe lehet söpörni, így biztonságosan kioltható.
A Loewy 50 SST jellemzői között szerepel a 99 cm magasság, a 47,5 cm átmérőjű rozsdamentes acél sütőrács, amely akár 10 személy számára is elegendő helyet biztosít. Ezüst színű, rozsdamentes acélból készült grillünk a QuickStart® rendszerrel és a QuickStop rendszerrel van felszerelve, így garantálva a könnyű használatot és a tisztítást.
Fedezze fel a Barbecook Loewy 50 SST faszenes grill előnyeit, és élvezze az autentikus grillezés minden pillanatát egyszerűen és biztonságosan. Ez a grill tökéletes választás azok számára, akik szeretik a különleges ízeket és a hagyományos grillezési élményt. Indítsa be a Loewy 50 SST grillt, és kezdje el a grillezést ma!</t>
        </is>
      </c>
    </row>
    <row r="23">
      <c r="A23" s="3" t="inlineStr">
        <is>
          <t>BC-CHA-1008</t>
        </is>
      </c>
      <c r="B23" s="2" t="inlineStr">
        <is>
          <t>Barbecook BC-CHA-1008 Loewy 50 zománcozott faszenes grill, fekete, 47,5cm átmérő</t>
        </is>
      </c>
      <c r="C23" s="1" t="n">
        <v>76190.0</v>
      </c>
      <c r="D23" s="7" t="n">
        <f>HYPERLINK("https://www.somogyi.hu/product/barbecook-bc-cha-1008-loewy-50-zomancozott-faszenes-grill-fekete-47-5cm-atmero-bc-cha-1008-18742","https://www.somogyi.hu/product/barbecook-bc-cha-1008-loewy-50-zomancozott-faszenes-grill-fekete-47-5cm-atmero-bc-cha-1008-18742")</f>
        <v>0.0</v>
      </c>
      <c r="E23" s="7" t="n">
        <f>HYPERLINK("https://www.somogyi.hu/data/img/product_main_images/small/18742.jpg","https://www.somogyi.hu/data/img/product_main_images/small/18742.jpg")</f>
        <v>0.0</v>
      </c>
      <c r="F23" s="2" t="inlineStr">
        <is>
          <t>5400269202187</t>
        </is>
      </c>
      <c r="G23" s="4" t="inlineStr">
        <is>
          <t>Szeretne egy valódi grillezési élményben részesülni? A Barbecook Loewy 50 zománcozott faszenes grill lehet az Ön számára a tökéletes választás, amely intenzív és finom grillezést tesz lehetővé a három szinten állítható sütőráccsal. A tűz tökéletes irányítását az állítható légbeáramlás biztosítja, míg a szélfogó megvédi a lángot az erős széltől.
A rozsdamentes acél sütőrács rendkívül tartós és könnyen karbantartható, így a Loewy 50 hosszú távú társa lehet a grillezésben. A QuickStart® és QuickStop rendszernek köszönhetően a faszenes grill használata egyszerű és biztonságos. A hamutartó edény és a stabil tartórendszer gondoskodik a biztonságról és a kiegészítők tárolásáról.
Mi teszi különlegessé a Loewy 50 faszenes grillt?
A faszenes grill gyújtása gyakran kihívást jelenthet, de a Loewy 50 QuickStart® rendszerével ez gyerekjáték. Csak néhány papír és a helyes technika szükséges, és a grillezés már kezdődhet is. Az állítható magasságú sütőrács és a légbeáramlás szabályozása lehetővé teszi, hogy tökéletes ellenőrzést gyakoroljon a tűz felett. Ha széllel küzd, a Loewy 50 szélvédője megvédi a grillt, de ha teljesen biztosra akar menni, használja a Barbecook kupolát, amely fedélként funkcionál és tükröződő hatása biztosítja az ételek tökéletes sikerét.
Hogyan működik a Loewy 50 faszenes grill?
A QuickStart® &amp; QuickStop rendszerrel a Loewy 50 faszenes grill könnyedén meggyújtható és biztonságosan használható. A grillezés befejezése után egyszerűen öblítse le a grill alját vízzel a QuickStop rendszer segítségével, így biztonságosan eloltja a parazsat. A Loewy 50 magassága 99 cm, kerek rozsdamentes acél sütőráccsal, melynek átmérője 47,5 cm, így akár 10 személy részére is elegendő grillezési felületet biztosít. A grill fekete, zománcozott acélból készült, így elegáns megjelenést kölcsönöz, miközben a QuickStart® és QuickStop rendszerekkel egyszerű és biztonságos használatot garantál.
Ismerje meg a Barbecook Loewy 50-et, és fedezze fel a faszenes grillezés valódi élményét!</t>
        </is>
      </c>
    </row>
    <row r="24">
      <c r="A24" s="3" t="inlineStr">
        <is>
          <t>GR03</t>
        </is>
      </c>
      <c r="B24" s="2" t="inlineStr">
        <is>
          <t>Home GR03 fedeles gömbgrill, faszén, faszénbrikett, zománcozott acél tűztér és fedél, krómozott acél rostély, galvanizált acél széntartó, 76 cm rostélymagasság a talajtól</t>
        </is>
      </c>
      <c r="C24" s="1" t="n">
        <v>54190.0</v>
      </c>
      <c r="D24" s="7" t="n">
        <f>HYPERLINK("https://www.somogyi.hu/product/home-gr03-fedeles-gombgrill-faszen-faszenbrikett-zomancozott-acel-tuzter-es-fedel-kromozott-acel-rostely-galvanizalt-acel-szentarto-76-cm-rostelymagassag-a-talajtol-gr03-18394","https://www.somogyi.hu/product/home-gr03-fedeles-gombgrill-faszen-faszenbrikett-zomancozott-acel-tuzter-es-fedel-kromozott-acel-rostely-galvanizalt-acel-szentarto-76-cm-rostelymagassag-a-talajtol-gr03-18394")</f>
        <v>0.0</v>
      </c>
      <c r="E24" s="7" t="n">
        <f>HYPERLINK("https://www.somogyi.hu/data/img/product_main_images/small/18394.jpg","https://www.somogyi.hu/data/img/product_main_images/small/18394.jpg")</f>
        <v>0.0</v>
      </c>
      <c r="F24" s="2" t="inlineStr">
        <is>
          <t>5999084964122</t>
        </is>
      </c>
      <c r="G24" s="4" t="inlineStr">
        <is>
          <t>Gondolkodott már azon, hogy hogyan tehetné a szabadtéri sütögetést még élvezetesebbé és egyszerűbbé? A Home GR03 fedeles gömbgrill ideális választás azok számára, akik szeretik a minőségi, faszénnel vagy faszénbrikettel történő grillezést. A grill korrózióálló, zománcozott acél fedele és tűztere könnyű tisztítást tesz lehetővé, míg a krómozott acél rostélya és a galvanizált acélból készült széntartó rács biztosítja a tartósságot. A 85 x 107 x 73 cm méretű grill rendkívül stabil, köszönhetően a 430 SS lábaknak, és kerekein könnyedén mozgatható.
A 76 cm magasságban elhelyezkedő rostély tökéletes hőmérsékletet kínál a grillezéshez, míg a fedélbe épített hőmérő segítségével mindig tökéletes eredményt érhet el. A levegőszabályozók a fedélen és a hamutartályon egyaránt megtalálhatóak, így a grill hőfokát egyszerűen szabályozhatja. A 11 kg tömegű gömbgrill könnyen eltávolítható hamutartálya pedig még a takarítást is megkönnyíti.
Válassza a Home GR03 fedeles gömbgrillt, és élvezze a kényelmes, ízletes grillezést a saját kertjében!</t>
        </is>
      </c>
    </row>
    <row r="25">
      <c r="A25" s="3" t="inlineStr">
        <is>
          <t>BC-CHA-1019</t>
        </is>
      </c>
      <c r="B25" s="2" t="inlineStr">
        <is>
          <t>Barbecook BC-CHA-1019 Carlo asztali faszenes grill, piros, 44x33x21cm</t>
        </is>
      </c>
      <c r="C25" s="1" t="n">
        <v>79090.0</v>
      </c>
      <c r="D25" s="7" t="n">
        <f>HYPERLINK("https://www.somogyi.hu/product/barbecook-bc-cha-1019-carlo-asztali-faszenes-grill-piros-44x33x21cm-bc-cha-1019-18751","https://www.somogyi.hu/product/barbecook-bc-cha-1019-carlo-asztali-faszenes-grill-piros-44x33x21cm-bc-cha-1019-18751")</f>
        <v>0.0</v>
      </c>
      <c r="E25" s="7" t="n">
        <f>HYPERLINK("https://www.somogyi.hu/data/img/product_main_images/small/18751.jpg","https://www.somogyi.hu/data/img/product_main_images/small/18751.jpg")</f>
        <v>0.0</v>
      </c>
      <c r="F25" s="2" t="inlineStr">
        <is>
          <t>5400269210908</t>
        </is>
      </c>
      <c r="G25" s="4" t="inlineStr">
        <is>
          <t>Szeretne grillezni a városi parkban, a kempingben vagy akár a teraszán? A Barbecook BC-CHA-1019 Carlo chili piros asztali faszenes grill lehetőséget kínál a szabadtéri főzés újraértelmezésére, ahol és amikor csak szeretné! 
Ez a hordozható, színes grill tökéletes választás a spontán barbecue partikhoz, legyen szó napfény sárgáról, égbolt kékéről, chili paprika pirosról, városi szürkéről vagy military zöldről – garantáltan jó hangulatot teremt! A Carlo asztali grill rendkívül kompakt méretei ellenére (44x33x21cm) akár hat fő ellátására alkalmas, otthon vagy útközben egyaránt. Ráadásul a praktikus hordtáskának köszönhetően könnyedén magával viheti ezt a divatos grillezőt. A modell rendkívül biztonságos, így gyerekekkel együtt is használható: a Carlo, mely a 'Cool Boy' nevet viseli, kívülről mindig hűvös marad, és a magasított peremnek köszönhetően az ételek nem esnek le az asztali grillről. Így elkerülhetők az égési sérülések és a leesett finomságok.
Hogyan működik a Carlo asztali grill?
A Carlo asztali grill használata rendkívül egyszerű, de alapvető a használati utasítás gondos követése. Ez a divatos grill elemekkel és faszénnel működik, fontos a minőségi faszenek használata. Mi a tökéletes választás? Nagy, levegős szenek matt, fekete színben, amelyek jobb oxigénkeringést biztosítanak és gyorsabban parázzsá válnak. Kerülje a kisebb darabokat és a sok port tartalmazó zsákokat. A faszénen kívül szükség lehet három gyújtókockára és egy hosszú gyufára vagy öngyújtóra (Barbecook BC-ACC-7448) is. Miután megtöltötte a faszenes tálcát faszénnel és gyújtókockákkal, gyújtsa meg a kockákat és állítsa az asztali grill szabályozógombját a legmagasabb fokozatra. Ez szabályozza az elektromos ventilátort, amely elegendő levegőkeringést biztosít a faszén parázslásához. Amikor a faszén vékony, szürke hamurétegbe borul, helyezze fel a tálca fedelét, majd a rácsot is. Most már Ön is szabályozhatja a ventilátort. Ha magasabb beállításra fordítja a gombot, a ventilátor gyorsabban forog, és több levegőt fúj a faszenes tartályba, így az tűz intenzívebbé válik. 
Hogyan tisztítható a Carlo asztali grill?
Amikor a grillezés véget ér, hagyja teljesen kihűlni az asztali grillt, mielőtt takarítani kezdene. A Carlo asztali grill minden alkatrésze könnyen szétszerelhető, és többségük mosogatógépben is mosható. Ha szeretné, választhatja az alkatrészek nedves szivaccsal való tisztítását is. A rácsot a Barbecook habtisztítójával is lehet tisztítani. Győződjön meg arról, hogy az asztali grill teljesen száraz, mielőtt eltenné! Ideális esetben a Carlót annak megfelelő táskájában, beltérben kell tárolni. 
Válassza a Barbecook BC-CHA-1019 Carlo chili piros asztali faszenes grillt, hogy tökéletes legyen a kikapcsolódás!</t>
        </is>
      </c>
    </row>
    <row r="26">
      <c r="A26" s="3" t="inlineStr">
        <is>
          <t>BC-CHA-1069</t>
        </is>
      </c>
      <c r="B26" s="2" t="inlineStr">
        <is>
          <t>Barbecook BC-CHA-1069 Magnus prémium faszenes grill, fekete, 85x64x110cm</t>
        </is>
      </c>
      <c r="C26" s="1" t="n">
        <v>224990.0</v>
      </c>
      <c r="D26" s="7" t="n">
        <f>HYPERLINK("https://www.somogyi.hu/product/barbecook-bc-cha-1069-magnus-premium-faszenes-grill-fekete-85x64x110cm-bc-cha-1069-18750","https://www.somogyi.hu/product/barbecook-bc-cha-1069-magnus-premium-faszenes-grill-fekete-85x64x110cm-bc-cha-1069-18750")</f>
        <v>0.0</v>
      </c>
      <c r="E26" s="7" t="n">
        <f>HYPERLINK("https://www.somogyi.hu/data/img/product_main_images/small/18750.jpg","https://www.somogyi.hu/data/img/product_main_images/small/18750.jpg")</f>
        <v>0.0</v>
      </c>
      <c r="F26" s="2" t="inlineStr">
        <is>
          <t>5404035700778</t>
        </is>
      </c>
      <c r="G26" s="4" t="inlineStr">
        <is>
          <t>Egy igazán sokoldalú faszenes grillt keres, ami minden grillezési igényt kielégít? A Barbecook BC-CHA-1069 Magnus faszenes grill pontosan az, amire szüksége van. 
Ezzel a prémium kategóriás grillkészülékkel, mely rugalmas XL méretű öntöttvas rácsokkal rendelkezik, akár 14 főt is kiszolgálhat, így garantáltan a családi és baráti összejövetelek középpontjába kerül.
A készülék csuklós fedele, mely puha tapintású fogantyúval van ellátva, lehetővé teszi a hő megőrzését és az étel egyenletes sütését. Az 1mm vastagságú zománcozott acél tűztér hosszú távú használatot és kiváló hőmegtartást biztosít. A fedélbe integrált hőmérőnek köszönhetően pontos információkat kaphat az aktuális hőmérsékletről. A nagy teherbírású kerekeknek köszönhetően a grill könnyen mozgatható, míg az extra széles alap maximális stabilitást nyújt, így nem kell aggódnia a grill megdőlése miatt.
A Barbecook Magnus 90 cm-es tökéletesen ergonomikus sütési magassága kényelmes grillezést tesz lehetővé hosszabb időn keresztül is. A porszórt oldalasztalok nemcsak kényelmes munkafelületet biztosítanak, hanem rozsdamentes acél horgokkal is felszereltek, így grillezési eszközei mindig kéznél lesznek. A beüzemelés sosem volt egyszerűbb: a zománcozott szénindító és a rozsdamentes acél szénkosarak segítségével a grill elindítása és a szenek megfelelő elosztása gyerekjáték. Töltse fel a grillt minőségi faszenekkel, és élvezze a problémamentes grillezést, miközben a kedvenc ételeit készíti.
Ne hagyja ki a lehetőséget, hogy a Barbecook BC-CHA-1069 Magnus prémium faszenes grill segítségével felejthetetlen élményeket szerezzen!</t>
        </is>
      </c>
    </row>
    <row r="27">
      <c r="A27" s="3" t="inlineStr">
        <is>
          <t>BC-CHA-1015</t>
        </is>
      </c>
      <c r="B27" s="2" t="inlineStr">
        <is>
          <t>Barbecook BC-CHA-1015 Carlo asztali faszenes grill, szürke, 44x33x21cm</t>
        </is>
      </c>
      <c r="C27" s="1" t="n">
        <v>79090.0</v>
      </c>
      <c r="D27" s="7" t="n">
        <f>HYPERLINK("https://www.somogyi.hu/product/barbecook-bc-cha-1015-carlo-asztali-faszenes-grill-szurke-44x33x21cm-bc-cha-1015-18718","https://www.somogyi.hu/product/barbecook-bc-cha-1015-carlo-asztali-faszenes-grill-szurke-44x33x21cm-bc-cha-1015-18718")</f>
        <v>0.0</v>
      </c>
      <c r="E27" s="7" t="n">
        <f>HYPERLINK("https://www.somogyi.hu/data/img/product_main_images/small/18718.jpg","https://www.somogyi.hu/data/img/product_main_images/small/18718.jpg")</f>
        <v>0.0</v>
      </c>
      <c r="F27" s="2" t="inlineStr">
        <is>
          <t>5400269209278</t>
        </is>
      </c>
      <c r="G27" s="4" t="inlineStr">
        <is>
          <t>Szeretne grillezni a városi parkban, a kempingben vagy akár a teraszán? A Barbecook BC-CHA-1015 Carlo városi szürke asztali faszenes grill lehetőséget kínál a szabadtéri főzés újraértelmezésére, ahol és amikor csak szeretné! 
Ez a hordozható, színes grill tökéletes választás a spontán barbecue partikhoz, legyen szó napfény sárgáról, chili pirosról, városi szürkéről vagy katonai zöldről – garantáltan jó hangulatot teremt! A Carlo asztali grill rendkívül kompakt méretei ellenére (44x33x21cm) akár hat fő ellátására alkalmas, otthon vagy útközben egyaránt. Ráadásul a praktikus hordtáskának köszönhetően könnyedén magával viheti ezt a divatos grillezőt. A modell rendkívül biztonságos, így gyerekekkel együtt is használható: a Carlo, mely a 'Cool Boy' nevet viseli, kívülről mindig hűvös marad, és a magasított peremnek köszönhetően az ételek nem esnek le az asztali grillről. Így elkerülhetők az égési sérülések és a leesett finomságok.
Hogyan működik a Carlo asztali grill?
A Carlo asztali grill használata rendkívül egyszerű, de alapvető a használati utasítás gondos követése. Ez a divatos grill elemekkel és faszénnel működik, fontos a minőségi faszenek használata. Mi a tökéletes választás? Nagy, levegős szenek matt, fekete színben, amelyek jobb oxigénkeringést biztosítanak és gyorsabban parázzsá válnak. Kerülje a kisebb darabokat és a sok port tartalmazó zsákokat. A faszénen kívül szükség lehet három gyújtókockára és egy hosszú gyufára vagy öngyújtóra (Barbecook BC-ACC-7448) is. Miután megtöltötte a faszenes tálcát faszénnel és gyújtókockákkal, gyújtsa meg a kockákat és állítsa az asztali grill szabályozógombját a legmagasabb fokozatra. Ez szabályozza az elektromos ventilátort, amely elegendő levegőkeringést biztosít a faszén parázslásához. Amikor a faszén vékony, szürke hamurétegbe borul, helyezze fel a tálca fedelét, majd a rácsot is. Most már Ön is szabályozhatja a ventilátort. Ha magasabb beállításra fordítja a gombot, a ventilátor gyorsabban forog, és több levegőt fúj a faszenes tartályba, így az tűz intenzívebbé válik. 
Hogyan tisztítható a Carlo asztali grill?
Amikor a grillezés véget ér, hagyja teljesen kihűlni az asztali grillt, mielőtt takarítani kezdene. A Carlo asztali grill minden alkatrésze könnyen szétszerelhető, és többségük mosogatógépben is mosható. Ha szeretné, választhatja az alkatrészek nedves szivaccsal való tisztítását is. A rácsot a Barbecook habtisztítójával is lehet tisztítani. Győződjön meg arról, hogy az asztali grill teljesen száraz, mielőtt eltenné! Ideális esetben a Carlót annak megfelelő táskájában, beltérben kell tárolni. 
Válassza a Barbecook BC-CHA-1015 Carlo szürke asztali faszenes grillt, hogy tökéletes legyen a kikapcsolódás!</t>
        </is>
      </c>
    </row>
    <row r="28">
      <c r="A28" s="3" t="inlineStr">
        <is>
          <t>BC-CHA-1018</t>
        </is>
      </c>
      <c r="B28" s="2" t="inlineStr">
        <is>
          <t>Barbecook BC-CHA-1018 Carlo asztali faszenes grill, zöld, 44x33x21cm</t>
        </is>
      </c>
      <c r="C28" s="1" t="n">
        <v>79090.0</v>
      </c>
      <c r="D28" s="7" t="n">
        <f>HYPERLINK("https://www.somogyi.hu/product/barbecook-bc-cha-1018-carlo-asztali-faszenes-grill-zold-44x33x21cm-bc-cha-1018-18735","https://www.somogyi.hu/product/barbecook-bc-cha-1018-carlo-asztali-faszenes-grill-zold-44x33x21cm-bc-cha-1018-18735")</f>
        <v>0.0</v>
      </c>
      <c r="E28" s="7" t="n">
        <f>HYPERLINK("https://www.somogyi.hu/data/img/product_main_images/small/18735.jpg","https://www.somogyi.hu/data/img/product_main_images/small/18735.jpg")</f>
        <v>0.0</v>
      </c>
      <c r="F28" s="2" t="inlineStr">
        <is>
          <t>5400269210922</t>
        </is>
      </c>
      <c r="G28" s="4" t="inlineStr">
        <is>
          <t>Szeretne grillezni a városi parkban, a kempingben vagy akár a teraszán? A Barbecook BC-CHA-1018 Carlo katonai zöld asztali faszenes grill lehetőséget kínál a szabadtéri főzés újraértelmezésére, ahol és amikor csak szeretné! 
Ez a hordozható, színes grill tökéletes választás a spontán barbecue partikhoz, legyen szó napfény sárgáról, égbolt kékéről, chili pirosról, városi szürkéről vagy katonai zöldről – garantáltan jó hangulatot teremt! A Carlo asztali grill rendkívül kompakt méretei ellenére (44x33x21cm) akár hat fő ellátására alkalmas, otthon vagy útközben egyaránt. Ráadásul a praktikus hordtáskának köszönhetően könnyedén magával viheti ezt a divatos grillezőt. A modell rendkívül biztonságos, így gyerekekkel együtt is használható: a Carlo, mely a 'Cool Boy' nevet viseli, kívülről mindig hűvös marad, és a magasított peremnek köszönhetően az ételek nem esnek le az asztali grillről. Így elkerülhetők az égési sérülések és a leesett finomságok.
Hogyan működik a Carlo asztali grill?
A Carlo asztali grill használata rendkívül egyszerű, de alapvető a használati utasítás gondos követése. Ez a divatos grill elemekkel és faszénnel működik, fontos a minőségi faszenek használata. Mi a tökéletes választás? Nagy, levegős szenek matt, fekete színben, amelyek jobb oxigénkeringést biztosítanak és gyorsabban parázzsá válnak. Kerülje a kisebb darabokat és a sok port tartalmazó zsákokat. A faszénen kívül szükség lehet három gyújtókockára és egy hosszú gyufára vagy öngyújtóra (Barbecook BC-ACC-7448) is. Miután megtöltötte a faszenes tálcát faszénnel és gyújtókockákkal, gyújtsa meg a kockákat és állítsa az asztali grill szabályozógombját a legmagasabb fokozatra. Ez szabályozza az elektromos ventilátort, amely elegendő levegőkeringést biztosít a faszén parázslásához. Amikor a faszén vékony, szürke hamurétegbe borul, helyezze fel a tálca fedelét, majd a rácsot is. Most már Ön is szabályozhatja a ventilátort. Ha magasabb beállításra fordítja a gombot, a ventilátor gyorsabban forog, és több levegőt fúj a faszenes tartályba, így az tűz intenzívebbé válik. 
Hogyan tisztítható a Carlo asztali grill?
Amikor a grillezés véget ér, hagyja teljesen kihűlni az asztali grillt, mielőtt takarítani kezdene. A Carlo asztali grill minden alkatrésze könnyen szétszerelhető, és többségük mosogatógépben is mosható. Ha szeretné, választhatja az alkatrészek nedves szivaccsal való tisztítását is. A rácsot a Barbecook habtisztítójával is lehet tisztítani. Győződjön meg arról, hogy az asztali grill teljesen száraz, mielőtt eltenné! Ideális esetben a Carlót annak megfelelő táskájában, beltérben kell tárolni. 
Válassza a Barbecook BC-CHA-1018 Carlo zöld asztali faszenes grillt, hogy tökéletes legyen a kikapcsolódás!</t>
        </is>
      </c>
    </row>
    <row r="29">
      <c r="A29" s="3" t="inlineStr">
        <is>
          <t>BC-CHA-1016</t>
        </is>
      </c>
      <c r="B29" s="2" t="inlineStr">
        <is>
          <t>Barbecook BC-CHA-1016 Carlo asztali faszenes grill, sárga, 44x33x21cm</t>
        </is>
      </c>
      <c r="C29" s="1" t="n">
        <v>79090.0</v>
      </c>
      <c r="D29" s="7" t="n">
        <f>HYPERLINK("https://www.somogyi.hu/product/barbecook-bc-cha-1016-carlo-asztali-faszenes-grill-sarga-44x33x21cm-bc-cha-1016-18734","https://www.somogyi.hu/product/barbecook-bc-cha-1016-carlo-asztali-faszenes-grill-sarga-44x33x21cm-bc-cha-1016-18734")</f>
        <v>0.0</v>
      </c>
      <c r="E29" s="7" t="n">
        <f>HYPERLINK("https://www.somogyi.hu/data/img/product_main_images/small/18734.jpg","https://www.somogyi.hu/data/img/product_main_images/small/18734.jpg")</f>
        <v>0.0</v>
      </c>
      <c r="F29" s="2" t="inlineStr">
        <is>
          <t>5400269204563</t>
        </is>
      </c>
      <c r="G29" s="4" t="inlineStr">
        <is>
          <t>Szeretne grillezni a városi parkban, a kempingben vagy akár a teraszán? A Barbecook BC-CHA-1016 Carlo napfény sárga asztali faszenes grill lehetőséget kínál a szabadtéri főzés újraértelmezésére, ahol és amikor csak szeretné! 
Ez a hordozható, színes grill tökéletes választás a spontán barbecue partikhoz, legyen szó napfény sárgáról, égbolt kékéről, chili pirosról, városi szürkéről vagy katonai zöldről – garantáltan jó hangulatot teremt! A Carlo asztali grill rendkívül kompakt méretei ellenére (44x33x21cm) akár hat fő ellátására alkalmas, otthon vagy útközben egyaránt. Ráadásul a praktikus hordtáskának köszönhetően könnyedén magával viheti ezt a divatos grillezőt. A modell rendkívül biztonságos, így gyerekekkel együtt is használható: a Carlo, mely a 'Cool Boy' nevet viseli, kívülről mindig hűvös marad, és a magasított peremnek köszönhetően az ételek nem esnek le az asztali grillről. Így elkerülhetők az égési sérülések és a leesett finomságok.
Hogyan működik a Carlo asztali grill?
A Carlo asztali grill használata rendkívül egyszerű, de alapvető a használati utasítás gondos követése. Ez a divatos grill elemekkel és faszénnel működik, fontos a minőségi faszenek használata. Mi a tökéletes választás? Nagy, levegős szenek matt, fekete színben, amelyek jobb oxigénkeringést biztosítanak és gyorsabban parázzsá válnak. Kerülje a kisebb darabokat és a sok port tartalmazó zsákokat. A faszénen kívül szükség lehet három gyújtókockára és egy hosszú gyufára vagy öngyújtóra (Barbecook BC-ACC-7448) is. Miután megtöltötte a faszenes tálcát faszénnel és gyújtókockákkal, gyújtsa meg a kockákat és állítsa az asztali grill szabályozógombját a legmagasabb fokozatra. Ez szabályozza az elektromos ventilátort, amely elegendő levegőkeringést biztosít a faszén parázslásához. Amikor a faszén vékony, szürke hamurétegbe borul, helyezze fel a tálca fedelét, majd a rácsot is. Most már Ön is szabályozhatja a ventilátort. Ha magasabb beállításra fordítja a gombot, a ventilátor gyorsabban forog, és több levegőt fúj a faszenes tartályba, így az tűz intenzívebbé válik. 
Hogyan tisztítható a Carlo asztali grill?
Amikor a grillezés véget ér, hagyja teljesen kihűlni az asztali grillt, mielőtt takarítani kezdene. A Carlo asztali grill minden alkatrésze könnyen szétszerelhető, és többségük mosogatógépben is mosható. Ha szeretné, választhatja az alkatrészek nedves szivaccsal való tisztítását is. A rácsot a Barbecook habtisztítójával is lehet tisztítani. Győződjön meg arról, hogy az asztali grill teljesen száraz, mielőtt eltenné! Ideális esetben a Carlót annak megfelelő táskájában, beltérben kell tárolni. 
Válassza a Barbecook BC-CHA-1016 Carlo sárga asztali faszenes grillt, hogy tökéletes legyen a kikapcsolódás!</t>
        </is>
      </c>
    </row>
    <row r="30">
      <c r="A30" s="3" t="inlineStr">
        <is>
          <t>GR01</t>
        </is>
      </c>
      <c r="B30" s="2" t="inlineStr">
        <is>
          <t>Home GR01 hordozható asztali grill, faszén, faszénbrikett, nyitott vagy zárt fedél, 2 rostély, 2 széntartó rács, 22 cm rostélymagasság asztaltól</t>
        </is>
      </c>
      <c r="C30" s="1" t="n">
        <v>19590.0</v>
      </c>
      <c r="D30" s="7" t="n">
        <f>HYPERLINK("https://www.somogyi.hu/product/home-gr01-hordozhato-asztali-grill-faszen-faszenbrikett-nyitott-vagy-zart-fedel-2-rostely-2-szentarto-racs-22-cm-rostelymagassag-asztaltol-gr01-18393","https://www.somogyi.hu/product/home-gr01-hordozhato-asztali-grill-faszen-faszenbrikett-nyitott-vagy-zart-fedel-2-rostely-2-szentarto-racs-22-cm-rostelymagassag-asztaltol-gr01-18393")</f>
        <v>0.0</v>
      </c>
      <c r="E30" s="7" t="n">
        <f>HYPERLINK("https://www.somogyi.hu/data/img/product_main_images/small/18393.jpg","https://www.somogyi.hu/data/img/product_main_images/small/18393.jpg")</f>
        <v>0.0</v>
      </c>
      <c r="F30" s="2" t="inlineStr">
        <is>
          <t>5999084964115</t>
        </is>
      </c>
      <c r="G30" s="4" t="inlineStr">
        <is>
          <t>Egy sokoldalú, hordozható grillezőt keres, ami tökéletes társ lehet a szabadban? A Home GR01 asztali grill kettős grillfelületével ideális választás a kempingezéshez és piknikezéshez egyaránt. Legyen szó nyitott vagy zárt fedél alatti sütésről, ez a grill minden igényt kielégít. Könnyedén szállítható, fa fogantyújának köszönhetően bárhova magával viheti.
A grill 41,5 x 44,5 x 30 cm méretű, így bőven van hely a finomságoknak. A két rostély és a két széntartó rács lehetővé teszi, hogy egyszerre többféle ételt készítsen, míg a 22 cm magasságú rostély tökéletes távolságot biztosít a parázstól. Az acél lábak stabilitást garantálnak, míg a levegőmennyiség szabályozásával irányíthatja a grillezési folyamatot.
Ne hagyja ki ezt a kompakt, mégis rendkívül funkcionális grillezőt, mely mindössze 3 kg tömegével kiválóan alkalmas hordozásra. A Home GR01 asztali grill azok számára készült, akik nem akarnak kompromisszumot kötni a minőségi grillezés élményében, függetlenül attól, hogy hol döntenek a sütés mellett. Tegye emlékezetessé piknikjeit ezzel az asztali grillezővel!</t>
        </is>
      </c>
    </row>
    <row r="31">
      <c r="A31" s="3" t="inlineStr">
        <is>
          <t>BC-CHA-1020</t>
        </is>
      </c>
      <c r="B31" s="2" t="inlineStr">
        <is>
          <t>Barbecook BC-CHA-1020 Edson faszenes grillhordó, fekete, 47,5 átmérő</t>
        </is>
      </c>
      <c r="C31" s="1" t="n">
        <v>114990.0</v>
      </c>
      <c r="D31" s="7" t="n">
        <f>HYPERLINK("https://www.somogyi.hu/product/barbecook-bc-cha-1020-edson-faszenes-grillhordo-fekete-47-5-atmero-bc-cha-1020-18801","https://www.somogyi.hu/product/barbecook-bc-cha-1020-edson-faszenes-grillhordo-fekete-47-5-atmero-bc-cha-1020-18801")</f>
        <v>0.0</v>
      </c>
      <c r="E31" s="7" t="n">
        <f>HYPERLINK("https://www.somogyi.hu/data/img/product_main_images/small/18801.jpg","https://www.somogyi.hu/data/img/product_main_images/small/18801.jpg")</f>
        <v>0.0</v>
      </c>
      <c r="F31" s="2" t="inlineStr">
        <is>
          <t>5400269202149</t>
        </is>
      </c>
      <c r="G31" s="4" t="inlineStr">
        <is>
          <t>Ön is azok közé tartozik, akik imádnak grillezni, és szeretik a kerti összejöveteleket? Akkor a Barbecook Edson BC-CHA-1020 fekete faszenes grillhordó tökéletes választás az Ön számára!
Ez a faszenes grillező nemcsak hogy ínycsiklandó grillételeket varázsol, hanem bárként is funkcionál, ami ideális a grillezés előtti és utáni italozgatásokhoz. Az Edson faszenes grillező fekete és katonai zöld színben kapható, letisztult és kemény megjelenésével garantáltan a kerti partik középpontjává válik!
Mi teszi az Edson faszenes grillt különlegessé?
Az Edson faszenes grill nem csak jól néz ki, hanem gyorsan és egyszerűen készíthetünk vele finom grillételeket. A Barbecook faszenes gyújtó (BC-ACC-7448) segítségével könnyedén meggyújtható. Nagy, kerek, zománcozott acélból készült grillsütőrácsa van, amely két különböző magasságban helyezhető el, így könnyedén szabályozható a grillezés intenzitása/hőmérséklete. Az Edson faszenes grill gumi lábakkal rendelkezik, így teraszra is könnyedén elhelyezhető anélkül, hogy a rozsdafoltok miatt kellene aggódnunk. A BBQ-parti előtt vagy után az Edson átalakítható egy valódi parti asztallá!
Hogyan működik az Edson faszenes grill?
Az Edson faszenes grillt a Barbecook faszenes gyújtó (BC-ACC-7448) segítségével nagyon könnyű meggyújtani. Helyezzünk néhány gyújtókockát az alsó rácsra, és tegyük rá a faszenes gyújtót. Töltsük meg faszénnel a gyújtót. Gyújtsuk meg a gyújtókockákat az egyik oldalsó lyukon keresztül. A forró levegő átjárja a faszenet. Amint a faszénen szürke hamuréteg képződik, öntsük a grill tálba. Adjunk hozzá némi plusz faszenet vagy néhány brikettet, amíg a tál körülbelül 50%-a megtelik. Kezdődhet a grillezés!
Hogyan tisztítható az Edson faszenes grill?
A grillparti után fontos, hogy az Edson faszenes grillt megtisztítsuk a következő használat előtt. Először is hagyjuk teljesen kihűlni a készüléket. Amikor eltávolítjuk az alsó rácsot, láthatjuk, hogy az Edson faszenes grill hamutartóval van felszerelve. Ebbe söpörjük össze az összes hamut és maradékot. Ezután eltávolíthatjuk a hamutartót, és kiönthetjük egy vödörbe. Mindig alaposan tisztítsuk meg a grillsütőrácsot is. A tisztítás befejezése után helyezzük a fedőt az Edson faszenes grill tetejére, és tároljuk (fedővel) egy száraz, jól szellőző helyiségben.
Az Edson faszenes grill összegezve
Az Edson faszenes grill fekete színben, egyedi megjelenéssel rendelkezik, fehér betűkkel a "Barbecook" felirattal. Ez igazán figyelemfelkeltő! A faszenes grill magassága 90cm, és egy zománcozott acélból készült kerek sütőráccsal rendelkezik, amelynek átmérője 47,5cm. Az Edson faszenes grill tálja zománcozott acélból, a fedele pedig horganyzott acélból készült. Ezzel a faszenes grillezővel akár 10 vendéget is kiszolgálhatunk!
Ha egy igazán jó grillezést szeretne tartani barátaival, akkor válassza a Barbecook Edson BC-CHA-1020 fekete faszenes grillhordót!</t>
        </is>
      </c>
    </row>
    <row r="32">
      <c r="A32" s="3" t="inlineStr">
        <is>
          <t>BC-CHA-1070</t>
        </is>
      </c>
      <c r="B32" s="2" t="inlineStr">
        <is>
          <t>Barbecook BC-CHA-1070 Kamal kamado 53/L matt faszenes grill</t>
        </is>
      </c>
      <c r="C32" s="1" t="n">
        <v>382990.0</v>
      </c>
      <c r="D32" s="7" t="n">
        <f>HYPERLINK("https://www.somogyi.hu/product/barbecook-bc-cha-1070-kamal-kamado-53-l-matt-faszenes-grill-bc-cha-1070-19147","https://www.somogyi.hu/product/barbecook-bc-cha-1070-kamal-kamado-53-l-matt-faszenes-grill-bc-cha-1070-19147")</f>
        <v>0.0</v>
      </c>
      <c r="E32" s="7" t="n">
        <f>HYPERLINK("https://www.somogyi.hu/data/img/product_main_images/small/19147.jpg","https://www.somogyi.hu/data/img/product_main_images/small/19147.jpg")</f>
        <v>0.0</v>
      </c>
      <c r="F32" s="2" t="inlineStr">
        <is>
          <t>5404035718483</t>
        </is>
      </c>
      <c r="G32" s="4" t="inlineStr">
        <is>
          <t>Szeretné, ha minden grillezés tökéletesre sikerülne? A Barbecook Kamal Kamado 53/L matt grill nemcsak egy szemet gyönyörködtető eszköz a teraszán, hanem egy rendkívül sokoldalú, professzionális grillsütő is, amely garantálja a legjobb ízeket és élményt minden alkalommal. Kialakítása és anyaghasználata biztosítja a hosszú élettartamot és a könnyű kezelhetőséget.
Prémium anyagok a kiváló teljesítményért
Ez a kamado grill teljes egészében mullit alapú kerámiából készült, amely rendkívül kopásálló és erős, emellett kiváló hőszigetelő tulajdonságokkal bír. A belső hőt hosszú időn keresztül képes megőrizni, így ideális a lassú sütéshez, grillezéshez és füstöléshez. Az extra jó záródásért a rugalmas, tartós tömítés felel, amely légmentesen zárja le a fedelet, így bent tartja a hőt, a füstöt és az aromákat. A fedélben található öntött alumíniumból készült szellőzőnyílás segítségével precízen szabályozható a levegőellátás.
A készülékhez tartozik egy rozsdamentes acélból készült faszén kosár, amely lehetővé teszi a hosszabb ideig tartó, egyenletes parázslást. A grill teljes mérete 131 x 77,8 x 115,5 cm, munkamagassága pedig kényelmes, 82,5 cm.
Egyszerű használat és hőszabályozás
A Kamado 53/L grill egyik legfontosabb előnye a könnyű begyújtás és a precíz hőszabályozás. A levegőellátás alul és felül is állítható, így tökéletesen beállíthatja a kívánt hőmérsékletet. Az integrált, fedélbe épített hőmérő lehetővé teszi a pontos hőmérséklet-ellenőrzést, akár 1000 °C-ig. Ez a funkció különösen fontos, ha hosszabb ideig szeretne sütni, vagy lassú tűzön készítene el egy nagyobb húsdarabot.
A 46 cm átmérőjű grillrács ideális akár 8 fő részére történő grillezéshez. A rács rozsdamentes acélból készült, ami hosszú élettartamot biztosít, és mosogatógépben is könnyen tisztítható.
Lehetőségek és kiegészítők
A Kamal Kamado 53/L grill további előnye, hogy különféle kiegészítőkkel tovább bővíthető. A grillező belsejében egyedi tartórendszer található, amelybe különféle kerámia tányérokat vagy rácsokat helyezhet, így könnyedén válthat a közvetett és közvetlen grillezési módok között. A kerámia tányérok ideálisak a lassú sütéshez, míg a közvetlen hőre vágyók egyszerűen eltávolíthatják őket, és közvetlenül a faszén felett grillezhetnek.
Tisztítás és karbantartás
A Kamado 53/L grill tisztítása rendkívül egyszerű, hiszen a magas hőmérsékleten az ételmaradékok elégnek, így csak egy puha kefével kell áttörölni a belső felületet. A hamutartó könnyen kivehető és üríthető, míg a rozsdamentes acél grillrácsot mosogatógépben is elmoshatja. A grill külső kerámia burkolata nedves ruhával tisztítható, a hosszú távú védelem érdekében pedig javasolt egy grilltakaró használata.
Miért érdemes a Barbecook Kamal Kamado 53/L grillsütőt választani?
Ez a matt fekete kivitelű Kamado grill nemcsak elegáns megjelenést biztosít, hanem a legjobb minőséget nyújtja a kültéri sütés és főzés terén. Akár grillezni, füstölni vagy lassú tűzön főzni szeretne, a Kamal Kamado grill minden igényt kielégít. A könnyű használat, a tartós anyagok és a sokoldalú kiegészítők miatt ez a grillsütő hosszú távon megbízható társa lesz minden kerti partin és családi összejövetelen.
Válassza a Kamado 53/L grillsütőt, és emelje új szintre a grillezés élményét! Rendelje meg most, és élvezze a tökéletes grillezés örömét otthonában!</t>
        </is>
      </c>
    </row>
    <row r="33">
      <c r="A33" s="3" t="inlineStr">
        <is>
          <t>BC-CHA-1004</t>
        </is>
      </c>
      <c r="B33" s="2" t="inlineStr">
        <is>
          <t>Barbecook BC-CHA-1004 Loewy 55 SST rozsdamentes acél faszenes grill, 55x33x101cm</t>
        </is>
      </c>
      <c r="C33" s="1" t="n">
        <v>100990.0</v>
      </c>
      <c r="D33" s="7" t="n">
        <f>HYPERLINK("https://www.somogyi.hu/product/barbecook-bc-cha-1004-loewy-55-sst-rozsdamentes-acel-faszenes-grill-55x33x101cm-bc-cha-1004-18799","https://www.somogyi.hu/product/barbecook-bc-cha-1004-loewy-55-sst-rozsdamentes-acel-faszenes-grill-55x33x101cm-bc-cha-1004-18799")</f>
        <v>0.0</v>
      </c>
      <c r="E33" s="7" t="n">
        <f>HYPERLINK("https://www.somogyi.hu/data/img/product_main_images/small/18799.jpg","https://www.somogyi.hu/data/img/product_main_images/small/18799.jpg")</f>
        <v>0.0</v>
      </c>
      <c r="F33" s="2" t="inlineStr">
        <is>
          <t>5400269207465</t>
        </is>
      </c>
      <c r="G33" s="4" t="inlineStr">
        <is>
          <t>Kíváncsi egy igazán autentikus grillezési élményre? A Barbecook Loewy 55 SST rozsdamentes acél faszenes grill minden grillezési stílushoz alkalmazkodik, hála a 3 szinten állítható sütőrácsának. Tökéletes tűzkontrollt biztosít az állítható légellátásnak köszönhetően, míg a szélvédő gondoskodik arról, hogy semmi se zavarhassa a grillezést.
A rozsdamentes acél sütőrács nem csak tartós, de könnyen tisztítható is. A QuickStart® és QuickStop rendszernek köszönhetően a grill gyorsan meggyújtható és biztonságosan lezárható, míg a hamutartó edény gondoskodik a tisztaságról. A Barbecook ikonikus faszenes grillsorozatának zászlóshajója, a Loewy, elegáns kivitelezésével minden szívet megdobogtat.
Mi teszi különlegessé a Loewy 55 SST faszenes grillt?
A faszenes grill gyújtása sosem volt egyszerűbb, mint a Loewy 55 SST modellel, köszönhetően a QuickStart® rendszernek. Néhány papír és a megfelelő technika segítségével a grillezés pillanatok alatt elkezdődhet. Az állítható magasságú sütőrácsnak és a finoman szabályozható légellátásnak köszönhetően minden előkészített étel tökéletesre sül. A szélvédővel felszerelt grill szinte bármilyen időjárásban megállja a helyét, míg a rozsdamentes acél sütőrács garantálja a hosszú élettartamot.
Hogyan működik a Loewy 55 SST faszenes grill?
A QuickStart® &amp; QuickStop rendszerrel a faszenes grill használata rendkívül egyszerű. A gyújtás után, a grillen készült ételek intenzív vagy finom sütése is lehetséges az állítható sütőrácsoknak köszönhetően. A QuickStop rendszerrel a sütés végén a parazsat egyszerűen és biztonságosan eloltjuk. A Loewy 55 SST, 101 cm magasságú faszenes grill, 10 fő részére elegendő sütőfelülettel rendelkezik, és mind a QuickStart®, mind a QuickStop rendszert tartalmazza.
Fedezze fel a Loewy 55 SST faszenes grill minden előnyét, és váltsa valóra az autentikus grillezési élményt már ma!</t>
        </is>
      </c>
    </row>
    <row r="34">
      <c r="A34" s="3" t="inlineStr">
        <is>
          <t>BC-CHA-1072</t>
        </is>
      </c>
      <c r="B34" s="2" t="inlineStr">
        <is>
          <t>Barbecook BC-CHA-1072 Kamal kamado 60/XL matt faszenes grill</t>
        </is>
      </c>
      <c r="C34" s="1" t="n">
        <v>478990.0</v>
      </c>
      <c r="D34" s="7" t="n">
        <f>HYPERLINK("https://www.somogyi.hu/product/barbecook-bc-cha-1072-kamal-kamado-60-xl-matt-faszenes-grill-bc-cha-1072-19146","https://www.somogyi.hu/product/barbecook-bc-cha-1072-kamal-kamado-60-xl-matt-faszenes-grill-bc-cha-1072-19146")</f>
        <v>0.0</v>
      </c>
      <c r="E34" s="7" t="n">
        <f>HYPERLINK("https://www.somogyi.hu/data/img/product_main_images/small/19146.jpg","https://www.somogyi.hu/data/img/product_main_images/small/19146.jpg")</f>
        <v>0.0</v>
      </c>
      <c r="F34" s="2" t="inlineStr">
        <is>
          <t>5404035718506</t>
        </is>
      </c>
      <c r="G34" s="4" t="inlineStr">
        <is>
          <t>Olyan grillsütőt keres, amely szinte minden ételt el tud készíteni és egyszerűen használható? A Barbecook Kamal Kamado 60/XL matt grillsütő nemcsak a stílusos megjelenésével hódít, hanem a sokoldalúságával és prémium minőségű anyaghasználatával is kiemelkedik a piacon. Ez a mullit alapú kerámiából készült kamado grill biztosítja a hő egyenletes és hosszú távú megtartását, amely a tökéletes grillezés kulcsa. Legyen szó grillezésről, füstölésről vagy lassú sütésről, ez a készülék garantáltan minden igényt kielégít.
Prémium anyagok és kiváló hőmegtartás
A Kamal Kamado 60/XL fő alapanyaga a kopásálló mullit kerámia, amely hosszú élettartamot és kiváló hőszigetelést garantál. Ez az anyag lehetővé teszi, hogy a faszénnel való sütés során a hőmérsékletet pontosan szabályozhassa és hosszabb ideig fenntartsa. Az extra jó záródásról a rugalmas és tartós dróthálós tömítés gondoskodik, így a készülék teljesen légmentesen zárható, megőrizve a hőt és a füstöt az intenzív ízek elérése érdekében.
A rozsdamentes acél faszén kosár tovább növeli a tartósságot és a biztonságot, miközben az öntött alumínium szellőzőnyílás lehetővé teszi a levegőellátás precíz szabályozását. A grill méretei 138x84x110,5 cm, a 80 cm-es munkamagasságnak köszönhetően pedig kényelmesen használható hosszabb grillezések során is.
Kényelmes használat és egyedi funkciók
A Kamal Kamado 60/XL grillel minden főzés könnyedén indul. A négy masszív görgő segítségével egyszerűen mozgathatja a készüléket, amelyet a két beépített fék biztosan a helyén tart. Az állítható levegőellátás segítségével precízen szabályozhatja a hőmérsékletet az alsó csúszka és a felső szelep segítségével.
A készülék 53 cm átmérőjű rozsdamentes acél grillrácsa elég nagy ahhoz, hogy akár 12 fő számára készítsen finom ételeket egyszerre. A grillező felület mellett a készülék két oldalsó, összecsukható munkalappal is rendelkezik, amelyek ideálisak az alapanyagok előkészítéséhez.
Grillezés, füstölés és lassú sütés egyetlen készülékkel
A Kamal Kamado sokoldalúságát a különböző grillezési technikák teszik igazán egyedivé. A mellékelt hővédő kerámia tányérokat használva indirekt grillezési módot választhat, amely tökéletes például nagyobb húsok lassú sütéséhez. Amennyiben közvetlen hőre van szüksége, egyszerűen távolítsa el a hővédő tányérokat, és élvezze a faszén adta intenzív hőt.
A rácsok mellett különféle kiegészítők is elérhetők, amelyek tovább bővítik a grillezési lehetőségeket, például öntöttvas rácsok, pizzakő és füstölő doboz.
Egyszerű tisztítás és tárolás
A Kamado grill tisztítása sem igényel különösebb erőfeszítést. A durvább szennyeződéseket egyszerűen elégetheti, ha a készüléket 260 °C-ra felmelegíti 30 percre. Ezután egy puha kefével távolítsa el a maradványokat, ürítse ki a hamutartót, és mossa el a rozsdamentes acél rácsokat. A kerámia külső felületet egy nedves ruhával tisztítsa meg, majd törölje szárazra.
Miért válassza a Barbecook Kamal Kamado 60/XL grillsütőt?
A Kamal Kamado nemcsak egy hagyományos grillsütő, hanem egy igazi többfunkciós konyhai eszköz, amely lehetővé teszi a grillezés, füstölés és lassú sütés összes előnyének kihasználását. Az innovatív anyaghasználat, a felhasználóbarát kialakítás és a praktikus tisztítási lehetőségek miatt ez a grillsütő hosszú távú befektetés, amely minden alkalommal kiváló eredményt nyújt.
Válassza a Kamal Kamado 60/XL-t, és varázsoljon minden grillezést felejthetetlen élménnyé! Rendelje meg most, és élvezze a prémium minőségű grillezés örömét otthonában!</t>
        </is>
      </c>
    </row>
    <row r="35">
      <c r="A35" s="3" t="inlineStr">
        <is>
          <t>BC-CHA-1007</t>
        </is>
      </c>
      <c r="B35" s="2" t="inlineStr">
        <is>
          <t>Barbecook BC-CHA-1007 Loewy 45 zománcozott faszenes grill, fekete, 43cm átmérő</t>
        </is>
      </c>
      <c r="C35" s="1" t="n">
        <v>56990.0</v>
      </c>
      <c r="D35" s="7" t="n">
        <f>HYPERLINK("https://www.somogyi.hu/product/barbecook-bc-cha-1007-loewy-45-zomancozott-faszenes-grill-fekete-43cm-atmero-bc-cha-1007-18800","https://www.somogyi.hu/product/barbecook-bc-cha-1007-loewy-45-zomancozott-faszenes-grill-fekete-43cm-atmero-bc-cha-1007-18800")</f>
        <v>0.0</v>
      </c>
      <c r="E35" s="7" t="n">
        <f>HYPERLINK("https://www.somogyi.hu/data/img/product_main_images/small/18800.jpg","https://www.somogyi.hu/data/img/product_main_images/small/18800.jpg")</f>
        <v>0.0</v>
      </c>
      <c r="F35" s="2" t="inlineStr">
        <is>
          <t>5400269202255</t>
        </is>
      </c>
      <c r="G35" s="4" t="inlineStr">
        <is>
          <t>Szeretne egy autentikus grillezési élményt, ahol mindent egyszerűen irányíthat? A Barbecook BC-CHA-1007 Loewy 45 zománcozott faszenes grill minden igényt kielégítő választás a grillezés szerelmeseinek. 
Ez a grill az állítható magasságú rácsnak köszönhetően lehetővé teszi az intenzív és finom sütést három különböző magassági szinten, valamint az állítható légbevezető rendszerrel tökéletesen irányíthatja a tüzet.
A Loewy 45 jellegzetes szélvédőjével nem kell aggódnia a szél miatt, míg a rozsdamentes acél sütőrács kiemelkedő tartósságot és könnyű tisztíthatóságot kínál. A QuickStart® és QuickStop rendszereknek köszönhetően a grill gyújtása és leállítása gyerekjáték. A hamugyűjtővel és a masszív tartóval a biztonság és a kiegészítők tárolása is megoldott.
A Loewy 45 faszenes grill használata egyszerű: a QuickStart® rendszerrel percek alatt meggyújthatja. Csak helyezzen be néhány összegöngyölt újságpapírt a gyújtócsőbe, majd a grill aljába faszén vagy brikett kerüljön. Az állítható légbevezetővel biztosíthatja a megfelelő légáramlást, majd a gyújtócsövön keresztül gyújtsa meg az újságpapírt. Körülbelül 15 perc múlva a faszén/brikett fehéren izzik, és kezdődhet a grillezés. A QuickStop rendszerrel a sütés befejezése után egyszerűen és biztonságosan olthatja el a parazsat.
A Loewy 45 jellemzői között szerepel a 97 cm magasság, a 43 cm átmérőjű rozsdamentes acél sütőrács, ami akár 6 személy számára is elegendő grillezési felületet biztosít. Fekete színű, zománcozott acélból készült grillünk mind a QuickStart®, mind a QuickStop rendszerrel rendelkezik, így garantálva a könnyű használatot és a tisztítást.
Ismerje meg a Barbecook Loewy 45 faszenes grill előnyeit, és váltsa valóra grillezési álmait egy olyan eszközzel, ami nemcsak praktikus, de stílusos kiegészítője lehet bármelyik kertnek vagy terasznak. Kezdődjön a grillezés a Loewy 45-tel már ma!</t>
        </is>
      </c>
    </row>
    <row r="36">
      <c r="A36" s="6" t="inlineStr">
        <is>
          <t xml:space="preserve">   Grillezés / Elektromos grill</t>
        </is>
      </c>
      <c r="B36" s="6" t="inlineStr">
        <is>
          <t/>
        </is>
      </c>
      <c r="C36" s="6" t="inlineStr">
        <is>
          <t/>
        </is>
      </c>
      <c r="D36" s="6" t="inlineStr">
        <is>
          <t/>
        </is>
      </c>
      <c r="E36" s="6" t="inlineStr">
        <is>
          <t/>
        </is>
      </c>
      <c r="F36" s="6" t="inlineStr">
        <is>
          <t/>
        </is>
      </c>
      <c r="G36" s="6" t="inlineStr">
        <is>
          <t/>
        </is>
      </c>
    </row>
    <row r="37">
      <c r="A37" s="3" t="inlineStr">
        <is>
          <t>BC-ELE-4000</t>
        </is>
      </c>
      <c r="B37" s="2" t="inlineStr">
        <is>
          <t>Barbecook BC-ELE-4000 Alexia 5011 elektromos grill, fekete, 59x49x97cm</t>
        </is>
      </c>
      <c r="C37" s="1" t="n">
        <v>96790.0</v>
      </c>
      <c r="D37" s="7" t="n">
        <f>HYPERLINK("https://www.somogyi.hu/product/barbecook-bc-ele-4000-alexia-5011-elektromos-grill-fekete-59x49x97cm-bc-ele-4000-18805","https://www.somogyi.hu/product/barbecook-bc-ele-4000-alexia-5011-elektromos-grill-fekete-59x49x97cm-bc-ele-4000-18805")</f>
        <v>0.0</v>
      </c>
      <c r="E37" s="7" t="n">
        <f>HYPERLINK("https://www.somogyi.hu/data/img/product_main_images/small/18805.jpg","https://www.somogyi.hu/data/img/product_main_images/small/18805.jpg")</f>
        <v>0.0</v>
      </c>
      <c r="F37" s="2" t="inlineStr">
        <is>
          <t>5400269210786</t>
        </is>
      </c>
      <c r="G37" s="4" t="inlineStr">
        <is>
          <t>Szeretne egy környezetbarát alternatívát a faszenes vagy gázos grillezésre, esetleg kis terasszal rendelkezik a városban? A Barbecook megoldást kínál: az Alexia 5011 elektromos grill, rendkívül felhasználóbarát és nagyon sokoldalú. 
Ez az elektromos grill állványra helyezhető, de asztali grillként is használható. Öntött alumínium sütőlapja van, amelyet elektromos fűtőelem melegít. Ezzel az elektromos grilllel akár 4 személy számára is készíthet finomságokat.
Az Alexia 5011 elektromos grill előnyei
Akik az elektromos grillezést választják, a kényelmet helyezik előtérbe: nincs bajlódás gázpalackokkal, faszénnel vagy brikettekkel. Csak csatlakoztassa a konnektort, és már kész is! Az Alexia segítségével kétségkívül 100%-os kikapcsolódásban lesz része! Ez az elektromos grill két változatban kapható, az egyik oldalasztalokkal - Alexia 5111 -, a másik oldalasztalok nélkül - Alexia 5011. Az oldalasztalos változatnál 3 akasztó is található kiegészítők, például kesztyűk, kefe vagy spatula akasztásához. Az utóbbi két kerékkel is el van látva, ami nagyon könnyűvé teszi a grill mozgatását. 
Mindkét modellnél van egy praktikus tálca az eszköz alján, ahol egyéb dolgokat tárolhat. Egy másik jellemző, hogy az elektromos grillt egyszerűen eltávolíthatja az állványról, és asztali grillként használhatja. Kicsit hideg van kint? Akkor tegye otthonosabbá a belső teret, és egyszerűen helyezze az Alexiát a konyhaasztalra. Végül is, ezzel az elektromos grilllel nincs füst. A megégett ételek amúgy sem szerepelnek Alexia szótárában. Az Alexia elektromos grill már 3 perc alatt felmelegszik, és 5 állítható hőfokozattal rendelkezik. 
A tapadásmentes bevonatnak köszönhetően alig van kockázata annak, hogy az elkészítések kudarcot vallanak! A fedél tökéletesen szabályozza a hőmérsékletet. Röviden, ez a kicsi, de kifinomult elektromos grill nélkülözhetetlen a városi emberek számára, akik a kényelmet, a gyorsaságot és mindenekelőtt a finom BBQ élményt részesítik előnyben.
Hogyan tisztítsa meg az Alexia elektromos grillt?
Az Alexia elektromos grill rendkívül könnyen karbantartható. Először is fontos, hogy használat után távolítsa el az elektromos kábelt az eszközről. Mindig meg kell várnia, amíg az eszköz teljesen lehűl, mielőtt takarításba kezdene. Amikor a grill lehűlt, tisztítsa meg az elektromos grill sütőlapját és csepegtető edényét meleg vízzel és szivaccsal. Soha ne használja a tisztítóeszközök csiszoló oldalát, mivel ez károsítja a tapadásmentes bevonatot! A tartót és az elektromos grill alapját is vízzel és szivaccsal tisztíthatja. Mindent alaposan szárítson meg, mielőtt eltenné az eszközt. Ideális esetben az Alexiát annak megfelelő táskájában, beltérben tárolja. 
Készen áll arra, hogy új, divatos grilljével ragyogjon? Rendelje meg még ma a Barbecook Alexia 5011-et!</t>
        </is>
      </c>
    </row>
    <row r="38">
      <c r="A38" s="3" t="inlineStr">
        <is>
          <t>HG GR 03</t>
        </is>
      </c>
      <c r="B38" s="2" t="inlineStr">
        <is>
          <t>Home HG GR 03 asztali grill, teljesítmény 2000 W, tapadásmentes felület, zsírgyűjtő fiók</t>
        </is>
      </c>
      <c r="C38" s="1" t="n">
        <v>20190.0</v>
      </c>
      <c r="D38" s="7" t="n">
        <f>HYPERLINK("https://www.somogyi.hu/product/home-hg-gr-03-asztali-grill-teljesitmeny-2000-w-tapadasmentes-felulet-zsirgyujto-fiok-hg-gr-03-17523","https://www.somogyi.hu/product/home-hg-gr-03-asztali-grill-teljesitmeny-2000-w-tapadasmentes-felulet-zsirgyujto-fiok-hg-gr-03-17523")</f>
        <v>0.0</v>
      </c>
      <c r="E38" s="7" t="n">
        <f>HYPERLINK("https://www.somogyi.hu/data/img/product_main_images/small/17523.jpg","https://www.somogyi.hu/data/img/product_main_images/small/17523.jpg")</f>
        <v>0.0</v>
      </c>
      <c r="F38" s="2" t="inlineStr">
        <is>
          <t>5999084955458</t>
        </is>
      </c>
      <c r="G38" s="4" t="inlineStr">
        <is>
          <t>Képzelje el, hogy egész évben élvezheti a grillezés örömét, még akkor is, ha az időjárás nem engedi a kerti grillezést. A Home HG GR 03 asztali grill ezt lehetővé teszi a 2000 W-os teljesítményével, ami gyors felmelegedést biztosít. Kiváló választás beltéri grillezéshez, legyen szó egy laza családi ebédről vagy egy baráti összejövetelről.
A grill beállítható sütési hőmérséklettel rendelkezik, így könnyen alkalmazkodik a különböző ételek igényeihez. A tapadásmentes bordázott vagy sima felületek kiváló eredményt és változatosságot nyújtanak a grillezett ételekben. A rendkívül könnyen tisztítható kialakítás, a kivehető zsírgyűjtő fiók és a grillezőfelület 52 x 26,5 cm-es mérete maximális kényelmet biztosít a használat során. A grill stabil műanyag állványának gumilábai gondoskodnak a készülék biztonságos elhelyezéséről, míg a hőálló műanyag fogantyúk könnyű és biztonságos mozgatást tesznek lehetővé.
Ne hagyja, hogy az időjárás megállítsa! Kezdje el most a beltéri grillezést a Home HG GR 03 asztali grilljével, és tapasztalja meg a kényelmet és az ízletes eredményeket!</t>
        </is>
      </c>
    </row>
    <row r="39">
      <c r="A39" s="3" t="inlineStr">
        <is>
          <t>BC-ELE-1003</t>
        </is>
      </c>
      <c r="B39" s="2" t="inlineStr">
        <is>
          <t>Barbecook BC-ELE-1003 E-Carlo elektromos asztali grill, szürke, 42,5x33x16,5cm</t>
        </is>
      </c>
      <c r="C39" s="1" t="n">
        <v>91790.0</v>
      </c>
      <c r="D39" s="7" t="n">
        <f>HYPERLINK("https://www.somogyi.hu/product/barbecook-bc-ele-1003-e-carlo-elektromos-asztali-grill-szurke-42-5x33x16-5cm-bc-ele-1003-18748","https://www.somogyi.hu/product/barbecook-bc-ele-1003-e-carlo-elektromos-asztali-grill-szurke-42-5x33x16-5cm-bc-ele-1003-18748")</f>
        <v>0.0</v>
      </c>
      <c r="E39" s="7" t="n">
        <f>HYPERLINK("https://www.somogyi.hu/data/img/product_main_images/small/18748.jpg","https://www.somogyi.hu/data/img/product_main_images/small/18748.jpg")</f>
        <v>0.0</v>
      </c>
      <c r="F39" s="2" t="inlineStr">
        <is>
          <t>5404035708057</t>
        </is>
      </c>
      <c r="G39" s="4" t="inlineStr">
        <is>
          <t>Szeretne erkélyen grillezni a város szívében? Az Barbecook BC-ELE-1003 E-Carlo elektromos asztali grill lehetővé teszi! Az új E-Carlo tökéletes választás azok számára, akik kis helyen szeretnének hangulatosan grillezni. Könnyen használható és karbantartható, kompakt és divatos! Az E-Carlóval bárhol megélheti az igazi nyaralás érzését! Napszemüveget fel, és kezdődhet a grillezés!
Könnyű beüzemelés, nagyszerű grillélmény:
Az E-Carlo egyszerűen kezelhető három fokozatú hőmérséklet-szabályzóval rendelkezik. Ön döntheti el, mennyi energiát fogyasszon az E-Carlo! A gyors és egyenletes hőeloszlásnak köszönhetően gond nélkül elkészíthet szinte bármilyen ételt. Csak fordítsa el a szabályzót a kívánt szintre, és mindössze 5 percen belül kezdődhet a grillezés. Az 1,5 méter hosszú tápkábelnek köszönhetően a grillezőt bárhol elhelyezheti! Az E-Carlo egy praktikus hordtáskával is rendelkezik, így bárhová magával viheti.
Könnyű tisztítás
Véget ért a grillezés, aggódik a tisztítás miatt? Ne tegye! Az E-Carlo függesztett elektródákkal rendelkezik, így könnyen mozgathatók a tisztítás érdekében. A magas peremű grillrács, valamint a zsírgyűjtő tálca mosogatógépben tisztítható, így ezzel sem lesz gondja.
Fedezze fel az E-Carlo elektromos asztali grillt, mely szürke színben pompázik és 2500W teljesítménnyel büszkélkedik. Egy egyszerű szabályzógomb segítségével három hőmérsékleti szint közül választhat, így könnyedén szabályozhatja a készüléket. Az egyenletes és gyors hőeloszlásnak köszönhetően minden fogást hibátlanul készíthet el. A grillrács és a zsírgyűjtő tálca mosogatógépben mosható, így a tisztítás gyerekjáték. Emellett a grill emelt peremmel és négy lábbal rendelkezik az asztal védelme érdekében, valamint egy 1,5 méter hosszú kábellel és egy praktikus hordtáskával a könnyű szállíthatóságért. 
Fedezze fel a hozzá kapható kiegészítőket is a még szórakoztatóbb grillezési élményért!</t>
        </is>
      </c>
    </row>
    <row r="40">
      <c r="A40" s="3" t="inlineStr">
        <is>
          <t>BC-ELE-1001</t>
        </is>
      </c>
      <c r="B40" s="2" t="inlineStr">
        <is>
          <t>Barbecook BC-ELE-1001 E-Carlo elektromos asztali grill, piros, 42,5x33x16,5cm</t>
        </is>
      </c>
      <c r="C40" s="1" t="n">
        <v>91790.0</v>
      </c>
      <c r="D40" s="7" t="n">
        <f>HYPERLINK("https://www.somogyi.hu/product/barbecook-bc-ele-1001-e-carlo-elektromos-asztali-grill-piros-42-5x33x16-5cm-bc-ele-1001-18821","https://www.somogyi.hu/product/barbecook-bc-ele-1001-e-carlo-elektromos-asztali-grill-piros-42-5x33x16-5cm-bc-ele-1001-18821")</f>
        <v>0.0</v>
      </c>
      <c r="E40" s="7" t="n">
        <f>HYPERLINK("https://www.somogyi.hu/data/img/product_main_images/small/18821.jpg","https://www.somogyi.hu/data/img/product_main_images/small/18821.jpg")</f>
        <v>0.0</v>
      </c>
      <c r="F40" s="2" t="inlineStr">
        <is>
          <t>5404035708033</t>
        </is>
      </c>
      <c r="G40" s="4" t="inlineStr">
        <is>
          <t>Szeretne erkélyen grillezni a város szívében? Az Barbecook BC-ELE-1001 E-Carlo elektromos asztali grill lehetővé teszi! Az új E-Carlo tökéletes választás azok számára, akik kis helyen szeretnének hangulatosan grillezni. Könnyen használható és karbantartható, kompakt és divatos! Az E-Carlóval bárhol megélheti az igazi nyaralás érzését! Napszemüveget fel, és kezdődhet a grillezés!
Könnyű beüzemelés, nagyszerű grillélmény:
Az E-Carlo egyszerűen kezelhető három fokozatú hőmérséklet-szabályzóval rendelkezik. Ön döntheti el, mennyi energiát fogyasszon az E-Carlo! A gyors és egyenletes hőeloszlásnak köszönhetően gond nélkül elkészíthet szinte bármilyen ételt. Csak fordítsa el a szabályzót a kívánt szintre, és mindössze 5 percen belül kezdődhet a grillezés. Az 1,5 méter hosszú tápkábelnek köszönhetően a grillezőt bárhol elhelyezheti! Az E-Carlo egy praktikus hordtáskával is rendelkezik, így bárhová magával viheti.
Könnyű tisztítás
Véget ért a grillezés, aggódik a tisztítás miatt? Ne tegye! Az E-Carlo függesztett elektródákkal rendelkezik, így könnyen mozgathatók a tisztítás érdekében. A magas peremű grillrács, valamint a zsírgyűjtő tálca mosogatógépben tisztítható, így ezzel sem lesz gondja.
Fedezze fel az E-Carlo elektromos asztali grillt, mely piros színben pompázik és 2500W teljesítménnyel büszkélkedik. Egy egyszerű szabályzógomb segítségével három hőmérsékleti szint közül választhat, így könnyedén szabályozhatja a készüléket. Az egyenletes és gyors hőeloszlásnak köszönhetően minden fogást hibátlanul készíthet el. A grillrács és a zsírgyűjtő tálca mosogatógépben mosható, így a tisztítás gyerekjáték. Emellett a grill emelt peremmel és négy lábbal rendelkezik az asztal védelme érdekében, valamint egy 1,5 méter hosszú kábellel és egy praktikus hordtáskával a könnyű szállíthatóságért. 
Fedezze fel a hozzá kapható kiegészítőket is a még szórakoztatóbb grillezési élményért!</t>
        </is>
      </c>
    </row>
    <row r="41">
      <c r="A41" s="3" t="inlineStr">
        <is>
          <t>BC-ELE-1002</t>
        </is>
      </c>
      <c r="B41" s="2" t="inlineStr">
        <is>
          <t>Barbecook BC-ELE-1002 E-Carlo elektromos asztali grill, zöld, 42,5x33x16,5cm</t>
        </is>
      </c>
      <c r="C41" s="1" t="n">
        <v>91790.0</v>
      </c>
      <c r="D41" s="7" t="n">
        <f>HYPERLINK("https://www.somogyi.hu/product/barbecook-bc-ele-1002-e-carlo-elektromos-asztali-grill-zold-42-5x33x16-5cm-bc-ele-1002-18749","https://www.somogyi.hu/product/barbecook-bc-ele-1002-e-carlo-elektromos-asztali-grill-zold-42-5x33x16-5cm-bc-ele-1002-18749")</f>
        <v>0.0</v>
      </c>
      <c r="E41" s="7" t="n">
        <f>HYPERLINK("https://www.somogyi.hu/data/img/product_main_images/small/18749.jpg","https://www.somogyi.hu/data/img/product_main_images/small/18749.jpg")</f>
        <v>0.0</v>
      </c>
      <c r="F41" s="2" t="inlineStr">
        <is>
          <t>5404035708040</t>
        </is>
      </c>
      <c r="G41" s="4" t="inlineStr">
        <is>
          <t>Szeretne erkélyen grillezni a város szívében? Az Barbecook BC-ELE-1002 E-Carlo elektromos asztali grill lehetővé teszi! Az új E-Carlo tökéletes választás azok számára, akik kis helyen szeretnének hangulatosan grillezni. Könnyen használható és karbantartható, kompakt és divatos! Az E-Carlóval bárhol megélheti az igazi nyaralás érzését! Napszemüveget fel, és kezdődhet a grillezés!
Könnyű beüzemelés, nagyszerű grillélmény:
Az E-Carlo egyszerűen kezelhető három fokozatú hőmérséklet-szabályzóval rendelkezik. Ön döntheti el, mennyi energiát fogyasszon az E-Carlo! A gyors és egyenletes hőeloszlásnak köszönhetően gond nélkül elkészíthet szinte bármilyen ételt. Csak fordítsa el a szabályzót a kívánt szintre, és mindössze 5 percen belül kezdődhet a grillezés. Az 1,5 méter hosszú tápkábelnek köszönhetően a grillezőt bárhol elhelyezheti! Az E-Carlo egy praktikus hordtáskával is rendelkezik, így bárhová magával viheti.
Könnyű tisztítás
Véget ért a grillezés, aggódik a tisztítás miatt? Ne tegye! Az E-Carlo függesztett elektródákkal rendelkezik, így könnyen mozgathatók a tisztítás érdekében. A magas peremű grillrács, valamint a zsírgyűjtő tálca mosogatógépben tisztítható, így ezzel sem lesz gondja.
Fedezze fel az E-Carlo elektromos asztali grillt, mely zöld színben pompázik és 2500W teljesítménnyel büszkélkedik. Egy egyszerű szabályzógomb segítségével három hőmérsékleti szint közül választhat, így könnyedén szabályozhatja a készüléket. Az egyenletes és gyors hőeloszlásnak köszönhetően minden fogást hibátlanul készíthet el. A grillrács és a zsírgyűjtő tálca mosogatógépben mosható, így a tisztítás gyerekjáték. Emellett a grill emelt peremmel és négy lábbal rendelkezik az asztal védelme érdekében, valamint egy 1,5 méter hosszú kábellel és egy praktikus hordtáskával a könnyű szállíthatóságért. 
Fedezze fel a hozzá kapható kiegészítőket is a még szórakoztatóbb grillezési élményért!</t>
        </is>
      </c>
    </row>
    <row r="42">
      <c r="A42" s="3" t="inlineStr">
        <is>
          <t>HG KG 01</t>
        </is>
      </c>
      <c r="B42" s="2" t="inlineStr">
        <is>
          <t>Home HG KG 01 mini kontakt grill, teljesítmény 800-1000 W, tapadásmentes bevonat, túlmelegedés elleni védelem</t>
        </is>
      </c>
      <c r="C42" s="1" t="n">
        <v>10990.0</v>
      </c>
      <c r="D42" s="7" t="n">
        <f>HYPERLINK("https://www.somogyi.hu/product/home-hg-kg-01-mini-kontakt-grill-teljesitmeny-800-1000-w-tapadasmentes-bevonat-tulmelegedes-elleni-vedelem-hg-kg-01-17768","https://www.somogyi.hu/product/home-hg-kg-01-mini-kontakt-grill-teljesitmeny-800-1000-w-tapadasmentes-bevonat-tulmelegedes-elleni-vedelem-hg-kg-01-17768")</f>
        <v>0.0</v>
      </c>
      <c r="E42" s="7" t="n">
        <f>HYPERLINK("https://www.somogyi.hu/data/img/product_main_images/small/17768.jpg","https://www.somogyi.hu/data/img/product_main_images/small/17768.jpg")</f>
        <v>0.0</v>
      </c>
      <c r="F42" s="2" t="inlineStr">
        <is>
          <t>5999084957902</t>
        </is>
      </c>
      <c r="G42" s="4" t="inlineStr">
        <is>
          <t>Szereti gyorsan és egyszerűen elkészíteni kedvenc ételeit? Az HG KG 01 mini kontakt grillt kifejezetten az Ön számára terveztük! Az eszköz 800-1000 W közötti teljesítménnyel rendelkezik, amely gyors és hatékony sütést biztosít minden egyes alkalommal.
A tapadásmentes bevonat nem csak a könnyű és egyenletes sütést garantálja, de hozzájárul a grill könnyű tisztításához is. Különlegességét az étel magasságához alkalmazkodó párhuzamos sütőfelületek adják, melyek optimalizálják a hőátadást és az ízletes eredményt. Az eszköz sütőfelületének mérete 230x145mm, ami tökéletes választás kisebb és nagyobb falatokhoz egyaránt. Biztonságos használatot a túlmelegedés elleni védelem garantálja. Az elegáns és kompakt méretű, 27x7,5x24 cm-es kialakításnak köszönhetően a készülék kis helyen is elfér, így bármilyen konyhába tökéletes választás.
Fedezze fel a gyors és ízletes ételkészítés örömét a Home HG KG 01 mini kontakt grill segítségével! A tökéletes grillezett ételek mostantól csak egy gombnyomásra vannak!</t>
        </is>
      </c>
    </row>
    <row r="43">
      <c r="A43" s="3" t="inlineStr">
        <is>
          <t>BC-ELE-4001</t>
        </is>
      </c>
      <c r="B43" s="2" t="inlineStr">
        <is>
          <t>Barbecook BC-ELE-4001 Alexia 5111 elektromos grill, oldalsó asztal, kerék, fekete, 84x55x97cm</t>
        </is>
      </c>
      <c r="C43" s="1" t="n">
        <v>116990.0</v>
      </c>
      <c r="D43" s="7" t="n">
        <f>HYPERLINK("https://www.somogyi.hu/product/barbecook-bc-ele-4001-alexia-5111-elektromos-grill-oldalso-asztal-kerek-fekete-84x55x97cm-bc-ele-4001-18806","https://www.somogyi.hu/product/barbecook-bc-ele-4001-alexia-5111-elektromos-grill-oldalso-asztal-kerek-fekete-84x55x97cm-bc-ele-4001-18806")</f>
        <v>0.0</v>
      </c>
      <c r="E43" s="7" t="n">
        <f>HYPERLINK("https://www.somogyi.hu/data/img/product_main_images/small/18806.jpg","https://www.somogyi.hu/data/img/product_main_images/small/18806.jpg")</f>
        <v>0.0</v>
      </c>
      <c r="F43" s="2" t="inlineStr">
        <is>
          <t>5400269210793</t>
        </is>
      </c>
      <c r="G43" s="4" t="inlineStr">
        <is>
          <t>Szeretne egy környezetbarát alternatívát a faszenes vagy gázos grillezésre, esetleg kis terasszal rendelkezik a városban? A Barbecook megoldást kínál: az Alexia 5111 elektromos grill, rendkívül felhasználóbarát és nagyon sokoldalú. 
Ez az elektromos grill állványra helyezhető, de asztali grillként is használható. Öntött alumínium sütőlapja van, amelyet elektromos fűtőelem melegít. Ezzel az elektromos grilllel akár 4 személy számára is készíthet finomságokat.
Az Alexia 5111 elektromos grill előnyei
Akik az elektromos grillezést választják, a kényelmet helyezik előtérbe: nincs bajlódás gázpalackokkal, faszénnel vagy brikettekkel. Csak csatlakoztassa a konnektort, és már kész is! Az Alexia segítségével kétségkívül 100%-os kikapcsolódásban lesz része! Ez az elektromos grill oldalasztalokkal van ellátva, valamint 3 akasztó is található rajta a kiegészítők, például kesztyűk, kefe vagy spatula akasztásához. Ezt a modellt két kerékkel szállítjuk, ami nagyon könnyűvé teszi a grill mozgatását. 
Továbbá egy praktikus tálca van az eszköz alján, ahol egyéb dolgokat tárolhat. Egy másik jellemző, hogy az elektromos grillt egyszerűen eltávolíthatja az állványról, és asztali grillként használhatja. Kicsit hideg van kint? Akkor tegye otthonosabbá a belső teret, és egyszerűen helyezze az Alexiát a konyhaasztalra. Végül is, ezzel az elektromos grilllel nincs füst. A megégett ételek amúgy sem szerepelnek Alexia szótárában. Az Alexia elektromos grill már 3 perc alatt felmelegszik, és 5 állítható hőfokozattal rendelkezik. 
A tapadásmentes bevonatnak köszönhetően alig van kockázata annak, hogy az elkészítések kudarcot vallanak! A fedél tökéletesen szabályozza a hőmérsékletet. Röviden, ez a kicsi, de kifinomult  elektromos grill nélkülözhetetlen a városi emberek számára, akik a kényelmet, a gyorsaságot és mindenekelőtt a finom BBQ élményt részesítik előnyben.
Hogyan tisztítsa meg az Alexia elektromos grillt?
Az Alexia elektromos grill rendkívül könnyen karbantartható. Először is fontos, hogy használat után távolítsa el az elektromos kábelt az eszközről. Mindig meg kell várnia, amíg az eszköz teljesen lehűl, mielőtt takarításba kezdene. Amikor a grill lehűlt, tisztítsa meg az elektromos grill sütőlapját és csepegtető edényét meleg vízzel és szivaccsal. Soha ne használja a tisztítóeszközök csiszoló oldalát, mivel ez károsítja a tapadásmentes bevonatot! A tartót és az elektromos grill alapját is vízzel és szivaccsal tisztíthatja. Mindent alaposan szárítson meg, mielőtt eltenné az eszközt. Ideális esetben az Alexiát annak megfelelő táskájában, beltérben tárolja. 
Készen áll arra, hogy új, divatos grilljével ragyogjon? Rendelje meg még ma a Barbecook Alexia 5111-et!</t>
        </is>
      </c>
    </row>
    <row r="44">
      <c r="A44" s="6" t="inlineStr">
        <is>
          <t xml:space="preserve">   Grillezés / Tűzkosár és tűztál</t>
        </is>
      </c>
      <c r="B44" s="6" t="inlineStr">
        <is>
          <t/>
        </is>
      </c>
      <c r="C44" s="6" t="inlineStr">
        <is>
          <t/>
        </is>
      </c>
      <c r="D44" s="6" t="inlineStr">
        <is>
          <t/>
        </is>
      </c>
      <c r="E44" s="6" t="inlineStr">
        <is>
          <t/>
        </is>
      </c>
      <c r="F44" s="6" t="inlineStr">
        <is>
          <t/>
        </is>
      </c>
      <c r="G44" s="6" t="inlineStr">
        <is>
          <t/>
        </is>
      </c>
    </row>
    <row r="45">
      <c r="A45" s="3" t="inlineStr">
        <is>
          <t>BC-WOO-6013</t>
        </is>
      </c>
      <c r="B45" s="2" t="inlineStr">
        <is>
          <t>Barbecook BC-WOO-6013 Jura tűzrakó kosár, festett acéllemez, 60x60x75cm</t>
        </is>
      </c>
      <c r="C45" s="1" t="n">
        <v>44290.0</v>
      </c>
      <c r="D45" s="7" t="n">
        <f>HYPERLINK("https://www.somogyi.hu/product/barbecook-bc-woo-6013-jura-tuzrako-kosar-festett-acellemez-60x60x75cm-bc-woo-6013-18754","https://www.somogyi.hu/product/barbecook-bc-woo-6013-jura-tuzrako-kosar-festett-acellemez-60x60x75cm-bc-woo-6013-18754")</f>
        <v>0.0</v>
      </c>
      <c r="E45" s="7" t="n">
        <f>HYPERLINK("https://www.somogyi.hu/data/img/product_main_images/small/18754.jpg","https://www.somogyi.hu/data/img/product_main_images/small/18754.jpg")</f>
        <v>0.0</v>
      </c>
      <c r="F45" s="2" t="inlineStr">
        <is>
          <t>5400269207533</t>
        </is>
      </c>
      <c r="G45" s="4" t="inlineStr">
        <is>
          <t>Szeretne varázslatos hangulatot teremteni a teraszon vagy erkélyen barátokkal vagy a családdal? A Barbecook Jura tűzkosár nem csupán meleget biztosít, hanem garantáltan a terasz vagy kert központi eleme lesz, hozzájárulva a kellemes hangulathoz és társasági élményhez. 
Képzelje el, ahogy barátaival beszélget, mályvacukrot vagy szalonnát süt a tűz felett, vagy csak élvezi egy jó könyv olvasását a lángok melegében. A Jura tűzkosár télen-nyáron tökéletes választás a szabadtéri összejövetelekhez. Stílusos geometrikus design és fekete lakkozott acél kivitel, amely bármely kültéri tér látványos dísze lehet. A 42,5cm átmérőjű és 70cm magasságú tűzkosár öt lába garantálja a stabilitást a kertben vagy a teraszon. Nyitott kialakításának köszönhetően teljes mértékben élvezheti a táncoló lángok látványát és melegét. A Jura tűzkosár választása funkcionális megoldást és egyben gyönyörű kerti díszt is jelent.
Hogyan működik a Jura tűzkosár?
A Jura tűzkosár használata rendkívül egyszerű. Először is fontos, hogy biztonságos, sík helyen helyezze el, távolan minden gyúlékony anyagtól. Ezután következhet a kaland: helyezzen a tűzkosár aljára gyújtókockákat és apró fahasábokat, majd gyújtsa meg őket hosszú gyufával vagy öngyújtóval. Ezután építsen fel egy kis fahasáb-piramist, lehetőleg tölgyből vagy bükkből, amelyek hosszú ideig égnek és szép lángot adnak. A száraz fa használata kulcsfontosságú a sikerhez. A tűz fenntartása érdekében rendszeresen adjon hozzá újabb rönköket ahol szükséges, és használjon természetes módszereket a tűz fokozására, például a szél vagy a légáramlatok kihasználásával.
Fedezze fel a Jura tűzkosár adta végtelen lehetőségeket, és tegyen egy lépést afelé, hogy otthona külső terei még vonzóbbá és hangulatosabbá váljanak minden évszakban!</t>
        </is>
      </c>
    </row>
    <row r="46">
      <c r="A46" s="3" t="inlineStr">
        <is>
          <t>BC-WOO-6019</t>
        </is>
      </c>
      <c r="B46" s="2" t="inlineStr">
        <is>
          <t>Barbecook BC-WOO-6019 Jack 75 tűztál, 75x30cm</t>
        </is>
      </c>
      <c r="C46" s="1" t="n">
        <v>87090.0</v>
      </c>
      <c r="D46" s="7" t="n">
        <f>HYPERLINK("https://www.somogyi.hu/product/barbecook-bc-woo-6019-jack-75-tuztal-75x30cm-bc-woo-6019-18817","https://www.somogyi.hu/product/barbecook-bc-woo-6019-jack-75-tuztal-75x30cm-bc-woo-6019-18817")</f>
        <v>0.0</v>
      </c>
      <c r="E46" s="7" t="n">
        <f>HYPERLINK("https://www.somogyi.hu/data/img/product_main_images/small/18817.jpg","https://www.somogyi.hu/data/img/product_main_images/small/18817.jpg")</f>
        <v>0.0</v>
      </c>
      <c r="F46" s="2" t="inlineStr">
        <is>
          <t>5420059856185</t>
        </is>
      </c>
      <c r="G46" s="4" t="inlineStr">
        <is>
          <t>Szeretne hosszú nyári estéken vagy hideg téli délutánokon a tűz körül meghitt pillanatokat tölteni barátokkal vagy családdal? Akkor fektessen be egy Barbecook BC-WOO-6019 Jack 75 tűztálba! 
Milyen előnyökkel bír a Jack 75 tűztál?
Nem csak meleget biztosít, hanem jó hangulatot is teremt. A tűz szó szerint és átvitt értelemben is felmelegíti a kellemes estét vagy délutánt. Nem csak a hosszú nyári estéken rendkívül hangulatos a Jack 75 tűztál, télen is sok örömöt szerezhetünk vele. Gyűljünk össze a tűztál körül egy természetben tett délutáni sétát követően, vagy szervezzünk karácsonyi italozást a tűz körül barátokkal vagy családdal. Helyezzünk székeket a Jack 75 köré, kínáljunk néhány csemegét, mint például pillecukrot, forralt bort vagy csak egy frissítő sört, és osszunk ki takarókat azoknak, akik még otthonosabbá szeretnék tenni a beszélgetést. A Jack corten acélból készült, egy minőségi anyagból, amely barna rozsda színű. A corten acél napjaink egyre népszerűbb építő és burkoló anyaga, mely a felületén kialakuló rozsdarétegnek köszönheti különleges megjelenését, és közkedveltségét. Ez az anyag manapság nagyon népszerű, mert dekoratív érintést is ad a kertnek. A corten acél 4 mm vastag és szinte elpusztíthatatlan. Ezt a corten acél tűztálat lyukakkal látták el az alján a többlet levegőbeáramlás és a könnyű vízelvezetés érdekében. A Jack tűztál a szabadban maradhat, így ha esik az eső, a víz egyszerűen átfolyik a lyukakon.
Hogyan gyújtható meg a Jack 75 tűztál?
A Jack corten acél tűztál meggyújtása nagyon egyszerű. Először is fontos, hogy egy biztonságos helyre helyezzük, egyenletes felületre, távolan a gyúlékony tárgyaktól. Ha ez megvan, kezdődhet a kaland. Először helyezzünk néhány gyújtókockát (Barbecook BC-ACC-7113) és aprófa darabokat a tűztál aljára, és gyújtsuk meg őket egy extra hosszú gyufával vagy öngyújtóval. Ezután építsünk fel egy piramist körülbelül 5 farönkből. A legjobb, ha bükk vagy tölgy darabokat használunk az egyenletes hő eléréséhez. A bükk és a tölgy hosszú ideig ég és szép lángokat ad. Fontos, hogy a fa száraz legyen. Ha ez nem így van, a fa sistereg a tűzben, alig ad hőt és sötét füstöt okoz. Ezután győződjünk meg arról, hogy a szél megfelelő irányból fúj, hogy beindítsa a tűztálban lévő tüzet. Rendszeresen fújjunk levegőt a tűzbe is. Semmilyen körülmények között ne használjunk folyékony tüzelőanyagot, mint például szeszt; ez életveszélyes. Amikor a tűz ég, a lényeg, hogy folyamatosan és azonos hőmérsékleten tartsa. Ezt úgy teheti meg, hogy mindig oda tesz farönköket, ahol kevésbé izzik.
Tegyen egy lépést a tökéletes kerti élmény felé a Barbecook Jack 75 tűztállal, és teremtsen felejthetetlen emlékeket azokkal, akik a legfontosabbak az Ön számára!</t>
        </is>
      </c>
    </row>
    <row r="47">
      <c r="A47" s="3" t="inlineStr">
        <is>
          <t>BC-WOO-6016</t>
        </is>
      </c>
      <c r="B47" s="2" t="inlineStr">
        <is>
          <t>Barbecook BC-WOO-6016 Rila tűzkosár és grill, 80x75x71cm</t>
        </is>
      </c>
      <c r="C47" s="1" t="n">
        <v>153990.0</v>
      </c>
      <c r="D47" s="7" t="n">
        <f>HYPERLINK("https://www.somogyi.hu/product/barbecook-bc-woo-6016-rila-tuzkosar-es-grill-80x75x71cm-bc-woo-6016-18816","https://www.somogyi.hu/product/barbecook-bc-woo-6016-rila-tuzkosar-es-grill-80x75x71cm-bc-woo-6016-18816")</f>
        <v>0.0</v>
      </c>
      <c r="E47" s="7" t="n">
        <f>HYPERLINK("https://www.somogyi.hu/data/img/product_main_images/small/18816.jpg","https://www.somogyi.hu/data/img/product_main_images/small/18816.jpg")</f>
        <v>0.0</v>
      </c>
      <c r="F47" s="2" t="inlineStr">
        <is>
          <t>5400269210489</t>
        </is>
      </c>
      <c r="G47" s="4" t="inlineStr">
        <is>
          <t>Válassza a Barbecook BC-WOO-6016 Rila tűzkosarat, és változtassa a grillezést közösségi tevékenységgé! A Rila olyan kialakítással rendelkezik, amely lehetővé teszi, hogy egyszerre több ember is kényelmesen körülállhassa a BBQ-t. Tökéletes arra, hogy beszélgetés közben finom falatokat süssön vendégeinek. Gyönyörű dizájnjával a Rila fa BBQ kétségtelenül az Ön grillezési partijának középpontjává válik!
Milyen előnyökkel bír a Rila BBQ?
Körbeülni barátokkal a tűz mellett néhány itallal és finom BBQ-falatokkal – ki ne szeretné ezt? A Rila BBQ-val a képzelet világából a valóságba léphet. Ez a multifunkcionális BBQ nemcsak az ínyencségek elkészítésére alkalmas, hanem tűzkosárként is szolgál. Tökéletes a melegedésre és egyben a táncoló lángok élvezetére is! A Rila BBQ 75 cm átmérőjű szénacél sütőlappal rendelkezik. A sütőlap hatszögletű, ami hat különálló területre osztja. Ez lehetővé teszi minden vendég számára, hogy kedvükre helyezzenek finomságokat a sütőre. A Rila BBQ nemcsak multifunkcionalitásáról ismert, hanem gyönyörű dizájnjáról is. Geometriai formáival kiváló dekorációs tárgy lehet kertjében. A széles alap a szükséges stabilitást biztosítja. A Rila BBQ 80 cm magas valamint kampókkal van ellátva a kiegészítők számára (spatula, ecset, védőkesztyű).
Hogyan működik a Rila BBQ?
A Rila BBQ tűzmedencéjének meggyújtásakor először helyezzen néhány gyújtókockát (Barbecook BC-ACC-7113) és aprófa darabokat a tűzmedence aljára. Gyújtsa meg ezeket egy hosszú gyufával vagy öngyújtóval. Ezután építsen fel egy piramist néhány száraz fahasábból. Fontos, hogy a szél megfelelő irányból fújjon a jó tűz érdekében. Rendszeresen fújhat levegőt a tűzbe. Amikor a tűz ég, a lényeg, hogy folyamatosan és azonos hőmérsékleten tartsa. Ezt úgy teheti meg, hogy mindig oda tesz farönköket, ahol kevésbé izzik. Észre fogja venni, hogy a Rila fa BBQ sütőlapja nagyon gyorsan felmelegszik. 
A szórakozás és grillezés minőségi élvezetéhez válassza a Barbecook Rila tűzkosarat! A beszélgetés így válhat közösségi étkezéssé is.</t>
        </is>
      </c>
    </row>
    <row r="48">
      <c r="A48" s="6" t="inlineStr">
        <is>
          <t xml:space="preserve">   Grillezés / Füstölő</t>
        </is>
      </c>
      <c r="B48" s="6" t="inlineStr">
        <is>
          <t/>
        </is>
      </c>
      <c r="C48" s="6" t="inlineStr">
        <is>
          <t/>
        </is>
      </c>
      <c r="D48" s="6" t="inlineStr">
        <is>
          <t/>
        </is>
      </c>
      <c r="E48" s="6" t="inlineStr">
        <is>
          <t/>
        </is>
      </c>
      <c r="F48" s="6" t="inlineStr">
        <is>
          <t/>
        </is>
      </c>
      <c r="G48" s="6" t="inlineStr">
        <is>
          <t/>
        </is>
      </c>
    </row>
    <row r="49">
      <c r="A49" s="3" t="inlineStr">
        <is>
          <t>BC-SMO-5017</t>
        </is>
      </c>
      <c r="B49" s="2" t="inlineStr">
        <is>
          <t>Barbecook BC-SMO-5017 Oskar S zománcozott füstölő és grill, fekete, átmérő 40cm</t>
        </is>
      </c>
      <c r="C49" s="1" t="n">
        <v>119990.0</v>
      </c>
      <c r="D49" s="7" t="n">
        <f>HYPERLINK("https://www.somogyi.hu/product/barbecook-bc-smo-5017-oskar-s-zomancozott-fustolo-es-grill-fekete-atmero-40cm-bc-smo-5017-18720","https://www.somogyi.hu/product/barbecook-bc-smo-5017-oskar-s-zomancozott-fustolo-es-grill-fekete-atmero-40cm-bc-smo-5017-18720")</f>
        <v>0.0</v>
      </c>
      <c r="E49" s="7" t="n">
        <f>HYPERLINK("https://www.somogyi.hu/data/img/product_main_images/small/18720.jpg","https://www.somogyi.hu/data/img/product_main_images/small/18720.jpg")</f>
        <v>0.0</v>
      </c>
      <c r="F49" s="2" t="inlineStr">
        <is>
          <t>5400269206956</t>
        </is>
      </c>
      <c r="G49" s="4" t="inlineStr">
        <is>
          <t>Szeretne különleges ízvilágot varázsolni az otthoni barbecue élménybe? Ismerje meg a Barbecook BC-SMO-5017 Oskar S zománcozott füstölőt, a tökéletes eszközt a füstös ízű húsok és halak elkészítéséhez. 
Akár egy új ízvilág felfedezésére vágyik, akár profi füstölt ételek készítésében szeretne tökéletesedni, az Oskar S füstölő minden igényt kielégít.
A Barbecook Oskar S füstölője egy multifunkcionális 2 az 1-ben eszköz, amely lehetővé teszi, hogy füstöléssel vagy hagyományos grillezéssel készítse el ételeit. Zománcozott bevonatának köszönhetően ez a 2 az 1-ben eszköz nemcsak magas minőségű, hanem rendkívül könnyen karbantartható. Használata során választhat, hogy az erős krómozott acélrácsokon helyezi el az ételeket, vagy a füstölő belsejébe szerelt, masszív akasztókon függeszti őket. Az állítható légellátásnak és a fedél tetején elhelyezett integrált hőmérőnek köszönhetően maximális ellenőrzést gyakorolhat a füstölési folyamat felett. Az Oskar S füstölővel mind melegen, mind hidegen füstölhet. A lehetőségek szinte végtelenek ezzel a füstölővel. Valóban megéri az befektetést!
Az Oskar S füstölő működtetése rendkívül egyszerű, legyen szó meleg vagy hideg füstölésről. A hideg füstölés 20 és 25 °C közötti hőmérsékleten történik, ami ideális a hideg téli hónapokban. Ehhez el kell helyezni a füstölőbe egy hidegfüst generátort  (Barbecook BC-SMO-5021). A meleg füstölés 70 és 75 °C közötti hőmérsékleten zajlik, ahol az ételek megfőnek és füstös ízt kapnak. Ehhez fa vagy szén, Barbecook gyújtókockák, hosszú gyufa vagy öngyújtó, valamint víz, húsleves vagy bor szükséges. Az Oskar S füstölővel való füstölés során a hőmérsékletet egyszerűen szabályozhatja a légellátó nyílások nyitásával vagy zárásával.
Néhány információ az Oskar S füstölőről:
* Multifunkcionális 2 az 1-ben kialakítás: füstölő és grill
* Magasság: 112 cm
* Elegáns fekete szín króm ráccsal, amelynek átmérője 44 cm
* Zománcozott bevonat a könnyű karbantartás érdekében
* Erős grillrácsok és akasztók
* Állítható légellátás az ellenőrzés érdekében
* Integrált hőmérő a fedélben
Fedezze fel az Oskar S füstölővel az ételek különleges ízvilágát, és tegye az otthoni grillezést felejthetetlen élménnyé.</t>
        </is>
      </c>
    </row>
    <row r="50">
      <c r="A50" s="6" t="inlineStr">
        <is>
          <t xml:space="preserve">      Grillezés / Grill kiegészítő / Grillgyújtók</t>
        </is>
      </c>
      <c r="B50" s="6" t="inlineStr">
        <is>
          <t/>
        </is>
      </c>
      <c r="C50" s="6" t="inlineStr">
        <is>
          <t/>
        </is>
      </c>
      <c r="D50" s="6" t="inlineStr">
        <is>
          <t/>
        </is>
      </c>
      <c r="E50" s="6" t="inlineStr">
        <is>
          <t/>
        </is>
      </c>
      <c r="F50" s="6" t="inlineStr">
        <is>
          <t/>
        </is>
      </c>
      <c r="G50" s="6" t="inlineStr">
        <is>
          <t/>
        </is>
      </c>
    </row>
    <row r="51">
      <c r="A51" s="3" t="inlineStr">
        <is>
          <t>BC-ACC-7113</t>
        </is>
      </c>
      <c r="B51" s="2" t="inlineStr">
        <is>
          <t>Barbecook BC-ACC-7113 fakocka begyújtó, 72db-os</t>
        </is>
      </c>
      <c r="C51" s="1" t="n">
        <v>2590.0</v>
      </c>
      <c r="D51" s="7" t="n">
        <f>HYPERLINK("https://www.somogyi.hu/product/barbecook-bc-acc-7113-fakocka-begyujto-72db-os-bc-acc-7113-18789","https://www.somogyi.hu/product/barbecook-bc-acc-7113-fakocka-begyujto-72db-os-bc-acc-7113-18789")</f>
        <v>0.0</v>
      </c>
      <c r="E51" s="7" t="n">
        <f>HYPERLINK("https://www.somogyi.hu/data/img/product_main_images/small/18789.jpg","https://www.somogyi.hu/data/img/product_main_images/small/18789.jpg")</f>
        <v>0.0</v>
      </c>
      <c r="F51" s="2" t="inlineStr">
        <is>
          <t>5400269217860</t>
        </is>
      </c>
      <c r="G51" s="4" t="inlineStr">
        <is>
          <t>Szeretne gyorsan és biztonságosan begyújtani faszenes grillt vagy füstölőt? A Barbecook BC-ACC-7113 fakocka begyújtóval ez a feladat gyerekjáték lesz. 
Ez a 72 darabos, környezetbarát begyújtó kocka csomag garantálja, hogy a tűzgyújtás egyszerű és gyors folyamat legyen, legyen szó bármilyen típusú grillről vagy tűzről.
A grill begyújtó kockák használata rendkívül egyszerű. A faszenes grill esetében a legjobb, ha ezeket grillgyújtó kéménnyel kombinálva használjuk. Helyezzen három begyújtó kockát a grill aljára, és helyezze fölé a grillgyújtó kéményt, majd töltse meg faszénnel vagy brikettel. Gyújtsa meg a kockákat egy hosszú gyufával vagy öngyújtóval a grillgyújtó kémény  alján található nyílásokon keresztül. A grillgyújtó kémény felszívja az alulról érkező meleg levegőt és elosztja a faszén vagy brikett között. Fontos, hogy jó légáramlás legyen, tehát nem érdemes a begyújtó kockákat közvetlenül a faszén vagy brikett közé tenni, mert így oxigénhiány léphet fel. 
Fa grilleknél, tűzgyűrűknél és tűzkosaraknál is gondoskodni kell elegendő oxigénről, hogy a begyújtó kockák elvégezhessék a dolgukat. Ne takarja be a begyújtó kockákat a fával. Ilyen típusú eszközöknél a következő módon gyújthatja meg a tüzet: tegyen néhány gyújtószálat és néhány begyújtó kockát az aljára, majd gyújtsa meg őket. Ezután építsen fel egy piramist körülbelül 5 darab fahasábból. Amint a tűz égni kezd, a trükk az, hogy fenntartsa és ugyanazon a hőmérsékleten tartsa azt. Ezt úgy teheti meg, hogy a kevésbé izzó helyeken újabb rönköket ad hozzá. Kerülje a tiszta szesz vagy benzin használatát a tűz felgyorsítása érdekében. Ezek káros anyagokat bocsátanak ki és súlyos égési sérüléseket okozhatnak!
A Barbecook begyújtó kockáinak előnyei közé tartozik, hogy teljesen természetesek: préselt fa rostokból és növényi olajokból állnak, és teljesen CO2-semlegesen égnek el. Ez egy kiváló választás azok számára, akik egészségesen és fenntartható módon szeretnének grillezni. Emellett a begyújtó kockák korlátlan ideig eltarthatók. Akár ma használja őket, akár néhány éven belül, a minőségük változatlan marad. Ráadásul a kockák teljesen szagtalanok, így grillezési munkálatai vagy a tűz körüli kellemes pillanatai során semmilyen zavaró szag nem fogja Önt zavarni.
Válassza a Barbecook BC-ACC-7113 fakocka begyújtót, és tegye a grillélményt egyszerűvé és környezetbaráttá!</t>
        </is>
      </c>
    </row>
    <row r="52">
      <c r="A52" s="3" t="inlineStr">
        <is>
          <t>BC-ACC-7413</t>
        </is>
      </c>
      <c r="B52" s="2" t="inlineStr">
        <is>
          <t>Barbecook BC-ACC-7413 rozsdamentes acél faszén begyújtó</t>
        </is>
      </c>
      <c r="C52" s="1" t="n">
        <v>17890.0</v>
      </c>
      <c r="D52" s="7" t="n">
        <f>HYPERLINK("https://www.somogyi.hu/product/barbecook-bc-acc-7413-rozsdamentes-acel-faszen-begyujto-bc-acc-7413-18841","https://www.somogyi.hu/product/barbecook-bc-acc-7413-rozsdamentes-acel-faszen-begyujto-bc-acc-7413-18841")</f>
        <v>0.0</v>
      </c>
      <c r="E52" s="7" t="n">
        <f>HYPERLINK("https://www.somogyi.hu/data/img/product_main_images/small/18841.jpg","https://www.somogyi.hu/data/img/product_main_images/small/18841.jpg")</f>
        <v>0.0</v>
      </c>
      <c r="F52" s="2" t="inlineStr">
        <is>
          <t>5420059848654</t>
        </is>
      </c>
      <c r="G52" s="4" t="inlineStr">
        <is>
          <t>Keresi a leggyorsabb és legegyszerűbb módját a grill vagy tűzrakóhely begyújtásának? A Barbecook BC-ACC-7413 rozsdamentes acél faszénbegyújtóval pillanatok alatt parázslani fog a faszén, így több idő marad az élvezetekre.
Ez a kiváló minőségű, rozsdamentes acélból készült faszénbegyújtó a Barbecook-tól, forradalmasítja a grillezés előkészületeit. Az egyszerű és biztonságos begyújtást a Safe-drop rendszer teszi lehetővé, mely garantálja, hogy a forró faszenet kockázatmentesen és egyszerűen helyezheti át a grillbe. A 16,5x27,5 cm méretű eszköz kényelmes fogású, hőálló védőlemezzel ellátott nyéllel rendelkezik, így megóvja kezét a hőtől.
Használata rendkívül egyszerű: töltse meg faszénnel a begyújtót, helyezzen alá éghető anyagot, majd gyújtsa meg. A begyújtóban lévő faszén gyorsan és egyenletesen felparázslik, ezzel jelentősen csökkentve a grillezésig eltelt időt.
Szerezze be a Barbecook BC-ACC-7413 rozsdamentes acél faszénbegyújtót, és tapasztalja meg, milyen könnyedén teheti gyorsabbá és biztonságosabbá a grillezés kezdeti lépéseit. Kezdje a grillezést stresszmentesen, hogy minden figyelme az ízekre és a társaságra irányulhasson!</t>
        </is>
      </c>
    </row>
    <row r="53">
      <c r="A53" s="3" t="inlineStr">
        <is>
          <t>BC-ACC-7426</t>
        </is>
      </c>
      <c r="B53" s="2" t="inlineStr">
        <is>
          <t>Barbecook BC-ACC-7426 tűzgyújtó fagyapot, 32db-os</t>
        </is>
      </c>
      <c r="C53" s="1" t="n">
        <v>3690.0</v>
      </c>
      <c r="D53" s="7" t="n">
        <f>HYPERLINK("https://www.somogyi.hu/product/barbecook-bc-acc-7426-tuzgyujto-fagyapot-32db-os-bc-acc-7426-18843","https://www.somogyi.hu/product/barbecook-bc-acc-7426-tuzgyujto-fagyapot-32db-os-bc-acc-7426-18843")</f>
        <v>0.0</v>
      </c>
      <c r="E53" s="7" t="n">
        <f>HYPERLINK("https://www.somogyi.hu/data/img/product_main_images/small/18843.jpg","https://www.somogyi.hu/data/img/product_main_images/small/18843.jpg")</f>
        <v>0.0</v>
      </c>
      <c r="F53" s="2" t="inlineStr">
        <is>
          <t>5420059857335</t>
        </is>
      </c>
      <c r="G53" s="4" t="inlineStr">
        <is>
          <t>Unja már, hogy a faszenes grill, a füstölő, vagy a tűzkosár meggyújtása örökkévalóságnak tűnik? A Barbecook BC-ACC-7426 tűzgyújtó fagyapot a gyors és környezetbarát megoldás a tűzgyújtáshoz. 
FSC® minősítésű, ami garantálja, hogy a termék az erdőgazdálkodás szigorú fenntarthatósági előírásai szerint készült.
Ez a 100%-ban természetes tűzgyújtó fagyapot akár 8-10 percig is ég, elegendő időt biztosítva a faszén, füstölő vagy tűzkosarak hatékony meggyújtásához. A 32 darabos kiszerelés biztosítja, hogy mindig legyen kéznél egy gyors megoldás, ha grillezni támad kedve.
A Barbecook tűzgyújtó fagyapot használatával nem csak időt takarít meg, de a környezetet is óvja. Az FSC® minősítés nem csak a természet iránti elkötelezettségünket jelzi, hanem azt is, hogy a Barbecook termékeivel felelősen hozzájárul az erdők megóvásához. A gyorsabb begyújtás és a természetes összetevők révén tiszta lelkiismerettel élvezheti a grillezés minden pillanatát.
Ne hagyja, hogy a tűzgyújtás elvegye a grillezés örömét. Válassza a Barbecook BC-ACC-7426 tűzgyújtó fagyapotot a gyors, egyszerű és környezetbarát megoldásért, ami tökéletes társ lesz minden szabadtéri sütögetéshez.</t>
        </is>
      </c>
    </row>
    <row r="54">
      <c r="A54" s="6" t="inlineStr">
        <is>
          <t xml:space="preserve">      Grillezés / Grill kiegészítő / Grill takaróponyvák</t>
        </is>
      </c>
      <c r="B54" s="6" t="inlineStr">
        <is>
          <t/>
        </is>
      </c>
      <c r="C54" s="6" t="inlineStr">
        <is>
          <t/>
        </is>
      </c>
      <c r="D54" s="6" t="inlineStr">
        <is>
          <t/>
        </is>
      </c>
      <c r="E54" s="6" t="inlineStr">
        <is>
          <t/>
        </is>
      </c>
      <c r="F54" s="6" t="inlineStr">
        <is>
          <t/>
        </is>
      </c>
      <c r="G54" s="6" t="inlineStr">
        <is>
          <t/>
        </is>
      </c>
    </row>
    <row r="55">
      <c r="A55" s="3" t="inlineStr">
        <is>
          <t>BC-ACC-7174</t>
        </is>
      </c>
      <c r="B55" s="2" t="inlineStr">
        <is>
          <t>Barbecook BC-ACC-7174 prémium gázgrill takaró, 90x55x80cm, fekete, kis méret</t>
        </is>
      </c>
      <c r="C55" s="1" t="n">
        <v>30890.0</v>
      </c>
      <c r="D55" s="7" t="n">
        <f>HYPERLINK("https://www.somogyi.hu/product/barbecook-bc-acc-7174-premium-gazgrill-takaro-90x55x80cm-fekete-kis-meret-bc-acc-7174-18777","https://www.somogyi.hu/product/barbecook-bc-acc-7174-premium-gazgrill-takaro-90x55x80cm-fekete-kis-meret-bc-acc-7174-18777")</f>
        <v>0.0</v>
      </c>
      <c r="E55" s="7" t="n">
        <f>HYPERLINK("https://www.somogyi.hu/data/img/product_main_images/small/18777.jpg","https://www.somogyi.hu/data/img/product_main_images/small/18777.jpg")</f>
        <v>0.0</v>
      </c>
      <c r="F55" s="2" t="inlineStr">
        <is>
          <t>5400269210885</t>
        </is>
      </c>
      <c r="G55" s="4" t="inlineStr">
        <is>
          <t>Keresi a tökéletes megoldást grillje védelmére az év minden napjára? A Barbecook BC-ACC-7174 prémium grilltakaróval biztos lehet benne, hogy grillje biztonságban van. 
Ez a különlegesen tervezett takaró tökéletesen illeszkedik a Barbecook Spring 2002, Alexia 5011/5111, Magnus Original modellekhez, valamint más kompatibilis grillekhez.
A magas minőségű, puha, szakadásálló poliészter anyag garantálja a hosszú távú védelmet. UV-állósága révén a nap káros sugarai sem jelentenek gondot, míg a vízlepergető és légáteresztő funkciója biztosítja, hogy grillje száraz és jó állapotban maradjon. Méreteivel, 90x55x80cm, ez a grilltakaró pontosan és megbízhatóan védi meg a grillt az időjárás viszontagságaitól.
Válassza a Barbecook BC-ACC-7174 prémium grilltakarót, hogy grillje éveken át megőrizhesse minőségét és készen álljon a következő sütésre.</t>
        </is>
      </c>
    </row>
    <row r="56">
      <c r="A56" s="3" t="inlineStr">
        <is>
          <t>GRG02P</t>
        </is>
      </c>
      <c r="B56" s="2" t="inlineStr">
        <is>
          <t>Home GRG02P takaróponyva GRG02 gázgrillhez</t>
        </is>
      </c>
      <c r="C56" s="1" t="n">
        <v>9290.0</v>
      </c>
      <c r="D56" s="7" t="n">
        <f>HYPERLINK("https://www.somogyi.hu/product/home-grg02p-takaroponyva-grg02-gazgrillhez-grg02p-19081","https://www.somogyi.hu/product/home-grg02p-takaroponyva-grg02-gazgrillhez-grg02p-19081")</f>
        <v>0.0</v>
      </c>
      <c r="E56" s="7" t="n">
        <f>HYPERLINK("https://www.somogyi.hu/data/img/product_main_images/small/19081.jpg","https://www.somogyi.hu/data/img/product_main_images/small/19081.jpg")</f>
        <v>0.0</v>
      </c>
      <c r="F56" s="2" t="inlineStr">
        <is>
          <t>5999084970741</t>
        </is>
      </c>
      <c r="G56" s="4" t="inlineStr">
        <is>
          <t>Hogyan védhető meg hatékonyan egy értékes kültéri gázgrill az időjárás viszontagságaitól? 
A Home GRG02P takaróponyva kifejezetten a Somogyi Elektronic Kft. által forgalmazott GRG02 gázgrillhez készült, hogy hosszú távon megóvja a készüléket a nedvességtől, portól és szennyeződésektől. Ez az időtálló és vízlepergető borítás ideális megoldás a grill állapotának megőrzéséhez akár egész szezonban is.
Kifejezetten GRG02 gázgrillhez tervezve
A ponyva pontos illeszkedést biztosít a GRG02 modellre, így nem csupán stabilan rögzíthető, de esztétikusan takarja is a teljes készüléket. A 121 x 47 x 97 cm-es méret tökéletesen lefedi a grill teljes szerkezetét, beleértve az égőket, rácsokat és a vezérlőpanelt is.
Vízálló és időjárásálló kialakítás
A ponyva kiváló minőségű poliészter anyagból készült, amely ellenáll a csapadéknak, UV-sugárzásnak és szélnek is. Így nem csupán az eső, hanem a napsugárzás és a por sem károsítja a grill burkolatát, gombjait vagy belső elemeit. A vízálló kivitel hosszabb élettartamot biztosít a készülék számára, különösen kültéri tárolás esetén.
Könnyű használat és praktikus védelem
A takaróponyva egyszerűen felhelyezhető és eltávolítható, így gyorsan használatba vehető a grill, amikor szükség van rá. Emellett könnyen tisztítható, összehajtható, és kis helyen is elfér, amikor nincs használatban. A letisztult fekete szín minden kerti környezetbe illeszkedik.
Miért válassza a Home GRG02P takaróponyvát?
- Tökéletesen illeszkedik a GRG02 gázgrillhez
- Vízálló poliészter anyag a tartós védelem érdekében
- Védi a grillt az esőtől, UV-sugárzástól és szennyeződésektől
- Könnyen kezelhető, praktikus kialakítás
- Segít meghosszabbítani a grill élettartamát
Őrizze meg GRG02 gázgrillje állapotát szezonról szezonra – válassza a Home GRG02P takaróponyvát, amely biztonságos és esztétikus védelmet nyújt minden körülmények között!</t>
        </is>
      </c>
    </row>
    <row r="57">
      <c r="A57" s="3" t="inlineStr">
        <is>
          <t>BC-ACC-7170</t>
        </is>
      </c>
      <c r="B57" s="2" t="inlineStr">
        <is>
          <t>Barbecook BC-ACC-7170 prémium grilltakaró, 66cm átmérő, fekete</t>
        </is>
      </c>
      <c r="C57" s="1" t="n">
        <v>18090.0</v>
      </c>
      <c r="D57" s="7" t="n">
        <f>HYPERLINK("https://www.somogyi.hu/product/barbecook-bc-acc-7170-premium-grilltakaro-66cm-atmero-fekete-bc-acc-7170-18776","https://www.somogyi.hu/product/barbecook-bc-acc-7170-premium-grilltakaro-66cm-atmero-fekete-bc-acc-7170-18776")</f>
        <v>0.0</v>
      </c>
      <c r="E57" s="7" t="n">
        <f>HYPERLINK("https://www.somogyi.hu/data/img/product_main_images/small/18776.jpg","https://www.somogyi.hu/data/img/product_main_images/small/18776.jpg")</f>
        <v>0.0</v>
      </c>
      <c r="F57" s="2" t="inlineStr">
        <is>
          <t>5400269210823</t>
        </is>
      </c>
      <c r="G57" s="4" t="inlineStr">
        <is>
          <t>Gondolkodott már azon, hogyan óvhatná meg grilljét az időjárás viszontagságaitól? A Barbecook BC-ACC-7170 prémium grilltakaró a tökéletes megoldás a Loewy 50 és Oskar S típusú, illetve a kompatibilis grillek védelmére. 
Ezzel a kiváló minőségű, puha és szakadásálló poliészterből készült takaróval biztos lehet abban, hogy grillje hosszú távon megőrzi eredeti állapotát.
Az UV-állóság és a vízlepergető, valamint légáteresztő tulajdonságok garantálják, hogy a grilltakaró alatt a grillje mindig száraz és újszerű marad. A 66x66x67cm-es méret tökéletes illeszkedést biztosítanak, így nem kell aggódnia a szél általi elmozdulás vagy a pontatlan takarás miatt.
Tegye biztonságossá grillje tárolását a Barbecook BC-ACC-7170 prémium grilltakaróval.</t>
        </is>
      </c>
    </row>
    <row r="58">
      <c r="A58" s="3" t="inlineStr">
        <is>
          <t>BC-ACC-7176</t>
        </is>
      </c>
      <c r="B58" s="2" t="inlineStr">
        <is>
          <t>Barbecook BC-ACC-7176 prémium gázgrill takaró, 120x55x95cm, fekete, közepes méret</t>
        </is>
      </c>
      <c r="C58" s="1" t="n">
        <v>36090.0</v>
      </c>
      <c r="D58" s="7" t="n">
        <f>HYPERLINK("https://www.somogyi.hu/product/barbecook-bc-acc-7176-premium-gazgrill-takaro-120x55x95cm-fekete-kozepes-meret-bc-acc-7176-18778","https://www.somogyi.hu/product/barbecook-bc-acc-7176-premium-gazgrill-takaro-120x55x95cm-fekete-kozepes-meret-bc-acc-7176-18778")</f>
        <v>0.0</v>
      </c>
      <c r="E58" s="7" t="n">
        <f>HYPERLINK("https://www.somogyi.hu/data/img/product_main_images/small/18778.jpg","https://www.somogyi.hu/data/img/product_main_images/small/18778.jpg")</f>
        <v>0.0</v>
      </c>
      <c r="F58" s="2" t="inlineStr">
        <is>
          <t>5400269210816</t>
        </is>
      </c>
      <c r="G58" s="4" t="inlineStr">
        <is>
          <t>Keresi a tökéletes megoldást grillje védelmére az év minden napjára? A Barbecook BC-ACC-7176 prémium grilltakaróval biztos lehet benne, hogy grillje biztonságban van. 
Ez a különlegesen tervezett takaró tökéletesen illeszkedik a Barbecook Siesta 210 és a Magnus Comfort és Premium modellekhez, valamint más kompatibilis grillekhez.
A magas minőségű, puha, szakadásálló poliészter anyag garantálja a hosszú távú védelmet. UV-állósága révén a nap káros sugarai sem jelentenek gondot, míg a vízlepergető és légáteresztő funkciója biztosítja, hogy grillje száraz és jó állapotban maradjon. Méreteivel, 120x55x95cm, ez a grilltakaró pontosan és megbízhatóan védi meg a grillt az időjárás viszontagságaitól.
Válassza a Barbecook BC-ACC-7176 prémium grilltakarót, hogy grillje éveken át megőrizhesse minőségét és készen álljon a következő sütésre.</t>
        </is>
      </c>
    </row>
    <row r="59">
      <c r="A59" s="3" t="inlineStr">
        <is>
          <t>BC-ACC-7445</t>
        </is>
      </c>
      <c r="B59" s="2" t="inlineStr">
        <is>
          <t>Barbecook BC-ACC-7445 prémium grilltakaró Kamal kamado faszenes grillhez</t>
        </is>
      </c>
      <c r="C59" s="1" t="n">
        <v>33590.0</v>
      </c>
      <c r="D59" s="7" t="n">
        <f>HYPERLINK("https://www.somogyi.hu/product/barbecook-bc-acc-7445-premium-grilltakaro-kamal-kamado-faszenes-grillhez-bc-acc-7445-18795","https://www.somogyi.hu/product/barbecook-bc-acc-7445-premium-grilltakaro-kamal-kamado-faszenes-grillhez-bc-acc-7445-18795")</f>
        <v>0.0</v>
      </c>
      <c r="E59" s="7" t="n">
        <f>HYPERLINK("https://www.somogyi.hu/data/img/product_main_images/small/18795.jpg","https://www.somogyi.hu/data/img/product_main_images/small/18795.jpg")</f>
        <v>0.0</v>
      </c>
      <c r="F59" s="2" t="inlineStr">
        <is>
          <t>5420059859667</t>
        </is>
      </c>
      <c r="G59" s="4" t="inlineStr">
        <is>
          <t>Keresi a tökéletes megoldást a Barbecook Kamal kamado grill védelmére az év minden napjára? A Barbecook BC-ACC-7445 Kamal kamado prémium grilltakaróval biztos lehet, hogy grillje biztonságban van. 
Ez a különlegesen tervezett takaró tökéletesen illeszkedik a Barbecook Kamal kamado modellhez, valamint más kompatibilis grillekhez.
A magas minőségű, puha, szakadásálló poliészter anyag garantálja a hosszú távú védelmet. UV-állósága révén a nap káros sugarai sem jelentenek gondot, míg a vízlepergető és légáteresztő funkciója biztosítja, hogy grillje száraz és jó állapotban maradjon. Méreteivel, 82,5x90cm, ez a grilltakaró pontosan és megbízhatóan védi meg a grillt az időjárás viszontagságaitól.
Válassza a Barbecook BC-ACC-7445 prémium grilltakarót, hogy grillje éveken át megőrizhesse minőségét és készen álljon a következő sütésre.</t>
        </is>
      </c>
    </row>
    <row r="60">
      <c r="A60" s="3" t="inlineStr">
        <is>
          <t>BC-ACC-7172</t>
        </is>
      </c>
      <c r="B60" s="2" t="inlineStr">
        <is>
          <t>Barbecook BC-ACC-7172 prémium gázgrill takaró, 151x56,5x107cm, fekete, nagy méret</t>
        </is>
      </c>
      <c r="C60" s="1" t="n">
        <v>43790.0</v>
      </c>
      <c r="D60" s="7" t="n">
        <f>HYPERLINK("https://www.somogyi.hu/product/barbecook-bc-acc-7172-premium-gazgrill-takaro-151x56-5x107cm-fekete-nagy-meret-bc-acc-7172-18779","https://www.somogyi.hu/product/barbecook-bc-acc-7172-premium-gazgrill-takaro-151x56-5x107cm-fekete-nagy-meret-bc-acc-7172-18779")</f>
        <v>0.0</v>
      </c>
      <c r="E60" s="7" t="n">
        <f>HYPERLINK("https://www.somogyi.hu/data/img/product_main_images/small/18779.jpg","https://www.somogyi.hu/data/img/product_main_images/small/18779.jpg")</f>
        <v>0.0</v>
      </c>
      <c r="F60" s="2" t="inlineStr">
        <is>
          <t>5400269210809</t>
        </is>
      </c>
      <c r="G60" s="4" t="inlineStr">
        <is>
          <t>Keresi a tökéletes megoldást grillje védelmére az év minden napjára? A Barbecook BC-ACC-7170 prémium grilltakaróval biztos lehet benne, hogy grillje biztonságban van. 
Ez a különlegesen tervezett takaró tökéletesen illeszkedik a Barbecook Spring 3002/3112/3212, Siesta 310/412/612 és Stella 3021/3221/4311 modellekhez, valamint más kompatibilis grillekhez.
A magas minőségű, puha, szakadásálló poliészter anyag garantálja a hosszú távú védelmet. UV-állósága révén a nap káros sugarai sem jelentenek gondot, míg a vízlepergető és légáteresztő funkciója biztosítja, hogy grillje száraz és jó állapotban maradjon. Méreteivel, 151x56,5x107cm, ez a grilltakaró pontosan és megbízhatóan védi meg a grillt az időjárás viszontagságaitól.
Válassza a Barbecook BC-ACC-7170 prémium grilltakarót, hogy grillje éveken át megőrizhesse minőségét és készen álljon a következő sütésre.</t>
        </is>
      </c>
    </row>
    <row r="61">
      <c r="A61" s="3" t="inlineStr">
        <is>
          <t>GRG01P</t>
        </is>
      </c>
      <c r="B61" s="2" t="inlineStr">
        <is>
          <t>Home GRG01P takaróponyva GRG01 gázgrillhez</t>
        </is>
      </c>
      <c r="C61" s="1" t="n">
        <v>10090.0</v>
      </c>
      <c r="D61" s="7" t="n">
        <f>HYPERLINK("https://www.somogyi.hu/product/home-grg01p-takaroponyva-grg01-gazgrillhez-grg01p-19080","https://www.somogyi.hu/product/home-grg01p-takaroponyva-grg01-gazgrillhez-grg01p-19080")</f>
        <v>0.0</v>
      </c>
      <c r="E61" s="7" t="n">
        <f>HYPERLINK("https://www.somogyi.hu/data/img/product_main_images/small/19080.jpg","https://www.somogyi.hu/data/img/product_main_images/small/19080.jpg")</f>
        <v>0.0</v>
      </c>
      <c r="F61" s="2" t="inlineStr">
        <is>
          <t>5999084970734</t>
        </is>
      </c>
      <c r="G61" s="4" t="inlineStr">
        <is>
          <t>Hogyan védhető meg hosszú távon a gázgrill a szennyeződésektől, esőtől és időjárás viszontagságaitól? 
A Home GRG01P takaróponyva kifejezetten a GRG01 gázgrill modellhez lett tervezve, így tökéletesen illeszkedik és maximális védelmet biztosít. Ez a strapabíró, vízálló ponyva ideális megoldás arra, hogy meghosszabbítsa grillsütője élettartamát, megőrizze annak tisztaságát, valamint megakadályozza a por, eső és UV-sugárzás okozta károsodásokat – akár kültéren, akár beltéren használja a készüléket.
Tartós védelem minden évszakban
A ponyva poliészter anyagból készült, amely nemcsak vízlepergető, de könnyen tisztítható is, így biztosítva a karbantartás egyszerűségét. A 129 x 47 x 97 cm-es méretével pontosan a Somogyi Elektronic Kft. által forgalmazott GRG01 gázgrillhez lett kialakítva, ezért nem kell a méretre szabással vagy illesztési problémákkal bajlódni. A precíz szabás garantálja, hogy a takaróponyva teljes körűen lefedje a grillt, beleértve a fedőt és az oldalsó égőt is.
Megbízható minőség, esztétikus megjelenés
A sötétebb árnyalatú kivitel modern, letisztult megjelenést kölcsönöz a kerti eszközök között, miközben a poliészter anyag időjárásálló tulajdonságai révén hosszú távon megőrzi eredeti állapotát. Nem deformálódik a hőingadozás hatására, és kiválóan ellenáll a napsugárzás okozta fakulásnak is.
Miért érdemes a Home GRG01P takaróponyvát választani?
- Kifejezetten a Home GRG01 gázgrillhez szabva – tökéletes illeszkedés
- Vízálló poliészter anyag – megbízható védelem eső, por és napsugárzás ellen
- Strapabíró és könnyen tisztítható – hosszú távú használatra tervezve
- Modern és diszkrét megjelenés – esztétikus megoldás bármilyen környezetben
Ne hagyja, hogy a grillje idő előtt elhasználódjon! A Home GRG01P takaróponyvával egyszerűen gondoskodhat arról, hogy készüléke mindig készen álljon a következő tökéletes grillezésre – legyen szó hétvégi családi ebédről vagy baráti összejövetelről. Válassza a célzott védelmet, és élvezze a gondtalan kerti sütögetések élményét!</t>
        </is>
      </c>
    </row>
    <row r="62">
      <c r="A62" s="3" t="inlineStr">
        <is>
          <t>BC-ACC-7414</t>
        </is>
      </c>
      <c r="B62" s="2" t="inlineStr">
        <is>
          <t>Barbecook BC-ACC-7414 prémium grilltakaró Edson faszenes grillhez</t>
        </is>
      </c>
      <c r="C62" s="1" t="n">
        <v>30890.0</v>
      </c>
      <c r="D62" s="7" t="n">
        <f>HYPERLINK("https://www.somogyi.hu/product/barbecook-bc-acc-7414-premium-grilltakaro-edson-faszenes-grillhez-bc-acc-7414-18842","https://www.somogyi.hu/product/barbecook-bc-acc-7414-premium-grilltakaro-edson-faszenes-grillhez-bc-acc-7414-18842")</f>
        <v>0.0</v>
      </c>
      <c r="E62" s="7" t="n">
        <f>HYPERLINK("https://www.somogyi.hu/data/img/product_main_images/small/18842.jpg","https://www.somogyi.hu/data/img/product_main_images/small/18842.jpg")</f>
        <v>0.0</v>
      </c>
      <c r="F62" s="2" t="inlineStr">
        <is>
          <t>5420059853597</t>
        </is>
      </c>
      <c r="G62" s="4" t="inlineStr">
        <is>
          <t>Keresi a tökéletes megoldást a Barbecook Edson grill védelmére az év minden napjára? A Barbecook BC-ACC-7414 prémium grilltakaróval biztos lehet benne, hogy grillje biztonságban van. 
Ez a különlegesen tervezett takaró tökéletesen illeszkedik a Barbecook Edson modellhez, valamint más kompatibilis grillekhez.
A magas minőségű, puha, szakadásálló poliészter anyag garantálja a hosszú távú védelmet. UV-állósága révén a nap káros sugarai sem jelentenek gondot, míg a vízlepergető és légáteresztő funkciója biztosítja, hogy grillje száraz és jó állapotban maradjon. Méreteivel, 66x85cm, ez a grilltakaró pontosan és megbízhatóan védi meg a grillt az időjárás viszontagságaitól.
Válassza a Barbecook BC-ACC-7414 prémium grilltakarót, hogy grillje éveken át megőrizhesse minőségét és készen álljon a következő sütésre.</t>
        </is>
      </c>
    </row>
    <row r="63">
      <c r="A63" s="6" t="inlineStr">
        <is>
          <t xml:space="preserve">      Grillezés / Grill kiegészítő / Grillező eszözök</t>
        </is>
      </c>
      <c r="B63" s="6" t="inlineStr">
        <is>
          <t/>
        </is>
      </c>
      <c r="C63" s="6" t="inlineStr">
        <is>
          <t/>
        </is>
      </c>
      <c r="D63" s="6" t="inlineStr">
        <is>
          <t/>
        </is>
      </c>
      <c r="E63" s="6" t="inlineStr">
        <is>
          <t/>
        </is>
      </c>
      <c r="F63" s="6" t="inlineStr">
        <is>
          <t/>
        </is>
      </c>
      <c r="G63" s="6" t="inlineStr">
        <is>
          <t/>
        </is>
      </c>
    </row>
    <row r="64">
      <c r="A64" s="3" t="inlineStr">
        <is>
          <t>BC-ACC-7049</t>
        </is>
      </c>
      <c r="B64" s="2" t="inlineStr">
        <is>
          <t>Barbecook BC-ACC-7049 4db-os Olivia rozsdamentes acél steak kés, ergonómikus nyél, 25cm</t>
        </is>
      </c>
      <c r="C64" s="1" t="n">
        <v>8990.0</v>
      </c>
      <c r="D64" s="7" t="n">
        <f>HYPERLINK("https://www.somogyi.hu/product/barbecook-bc-acc-7049-4db-os-olivia-rozsdamentes-acel-steak-kes-ergonomikus-nyel-25cm-bc-acc-7049-18741","https://www.somogyi.hu/product/barbecook-bc-acc-7049-4db-os-olivia-rozsdamentes-acel-steak-kes-ergonomikus-nyel-25cm-bc-acc-7049-18741")</f>
        <v>0.0</v>
      </c>
      <c r="E64" s="7" t="n">
        <f>HYPERLINK("https://www.somogyi.hu/data/img/product_main_images/small/18741.jpg","https://www.somogyi.hu/data/img/product_main_images/small/18741.jpg")</f>
        <v>0.0</v>
      </c>
      <c r="F64" s="2" t="inlineStr">
        <is>
          <t>5400269210779</t>
        </is>
      </c>
      <c r="G64" s="4" t="inlineStr">
        <is>
          <t>A tökéletes steak kést keresi, ami stílusos és könnyen használható? A Barbecook BC-ACC-7049 Olivia rozsdamentes acél steak kés négy darabos készlete garantálja, hogy a hús szeletelése mindig precíz és erőfeszítés nélküli legyen, legyen szó bármilyen típusú húsról.
Ez a kiváló minőségű steak kés készlet ergonomikus nyéllel rendelkezik, ami nemcsak kényelmes fogást biztosít, hanem segít a szeletelés pontos végrehajtásában is. A 25x3,5x2cm-es kés tökéletes méretű, így minden típusú hússzeletelési feladathoz ideális.
Az Olivia steak kés készlettel a hús szeletelése nemcsak egyszerűbb, hanem élvezetesebb is lesz. A rozsdamentes acél pengék garantálják a tartósságot és az éles vágást hosszú távon, így a kés készlet hosszú ideig megtartja használhatóságát.
Válassza a Barbecook BC-ACC-7049 Olivia rozsdamentes acél steak kés készletet, és emelje a hús szeletelési élményt új szintre.</t>
        </is>
      </c>
    </row>
    <row r="65">
      <c r="A65" s="3" t="inlineStr">
        <is>
          <t>BC-ACC-7045</t>
        </is>
      </c>
      <c r="B65" s="2" t="inlineStr">
        <is>
          <t>Barbecook BC-ACC-7045 Olivia rozsdamentes acél univerzális fogó fekete, 42cm</t>
        </is>
      </c>
      <c r="C65" s="1" t="n">
        <v>5790.0</v>
      </c>
      <c r="D65" s="7" t="n">
        <f>HYPERLINK("https://www.somogyi.hu/product/barbecook-bc-acc-7045-olivia-rozsdamentes-acel-univerzalis-fogo-fekete-42cm-bc-acc-7045-18763","https://www.somogyi.hu/product/barbecook-bc-acc-7045-olivia-rozsdamentes-acel-univerzalis-fogo-fekete-42cm-bc-acc-7045-18763")</f>
        <v>0.0</v>
      </c>
      <c r="E65" s="7" t="n">
        <f>HYPERLINK("https://www.somogyi.hu/data/img/product_main_images/small/18763.jpg","https://www.somogyi.hu/data/img/product_main_images/small/18763.jpg")</f>
        <v>0.0</v>
      </c>
      <c r="F65" s="2" t="inlineStr">
        <is>
          <t>5400269210731</t>
        </is>
      </c>
      <c r="G65" s="4" t="inlineStr">
        <is>
          <t>Szeretne egy sokoldalú eszközt, ami minden grillezési feladatot egyszerűvé tesz? A Barbecook BC-ACC-7045 Olivia rozsdamentes acél univerzális fogóval könnyedén kezelheti a zöldségeket és húsokat, legyen szó forgatásról vagy felvágásról, így tökéletes társává válik minden grillpartin.
Ez az univerzális fogó ideális választás, ha precíz és hatékony munkát szeretne végezni a grill mellett. A 42x4x3cm-es fogó kényelmes fogást biztosít, miközben a rozsdamentes acél anyag garantálja a tartósságot és az egyszerű tisztíthatóságot.
Az akasztónak köszönhetően a fogó könnyen tárolható, így mindig kéznél lehet, amikor csak szükség van rá. A Barbecook BC-ACC-7045 Olivia rozsdamentes acél univerzális fogóval a grillezés minden aspektusa kontroll alatt tartható, a zöldségektől kezdve a húsokig, minden egyes alkalommal tökéletes eredményt garantálva.
Változtassa meg a grillezési rutinját a Barbecook BC-ACC-7045 Olivia rozsdamentes acél univerzális fogóval, és élvezze a könnyed és precíz hús- és zöldségkezelést minden egyes alkalommal.</t>
        </is>
      </c>
    </row>
    <row r="66">
      <c r="A66" s="3" t="inlineStr">
        <is>
          <t>BC-ACC-7037</t>
        </is>
      </c>
      <c r="B66" s="2" t="inlineStr">
        <is>
          <t>Barbecook BC-ACC-7037 Olivia rozsdamentes acél grill villa, 43cm-es, fekete nyél</t>
        </is>
      </c>
      <c r="C66" s="1" t="n">
        <v>4890.0</v>
      </c>
      <c r="D66" s="7" t="n">
        <f>HYPERLINK("https://www.somogyi.hu/product/barbecook-bc-acc-7037-olivia-rozsdamentes-acel-grill-villa-43cm-es-fekete-nyel-bc-acc-7037-18764","https://www.somogyi.hu/product/barbecook-bc-acc-7037-olivia-rozsdamentes-acel-grill-villa-43cm-es-fekete-nyel-bc-acc-7037-18764")</f>
        <v>0.0</v>
      </c>
      <c r="E66" s="7" t="n">
        <f>HYPERLINK("https://www.somogyi.hu/data/img/product_main_images/small/18764.jpg","https://www.somogyi.hu/data/img/product_main_images/small/18764.jpg")</f>
        <v>0.0</v>
      </c>
      <c r="F66" s="2" t="inlineStr">
        <is>
          <t>5400269210656</t>
        </is>
      </c>
      <c r="G66" s="4" t="inlineStr">
        <is>
          <t>Az ideális eszközt keresi, amivel szinte minden grillezési feladatot könnyedén megoldhat? A Barbecook BC-ACC-7037 Olivia rozsdamentes acél grill villa tökéletes választás, ha húsok és zöldségek forgatásáról van szó, garantálva a kiváló grillezési élményt minden alkalommal.
Ez a kiváló minőségű rozsdamentes acélból készült grill villa kifejezetten arra lett tervezve, hogy megkönnyítse a grillezett ételek kezelését, legyen szó akár vastag steakről, akár finom zöldségekről. A termék méretei – 4,5x2,5x43cm– ideálisak ahhoz, hogy hatékonyan és biztonságosan tudjon dolgozni a grill mellett, anélkül, hogy közvetlenül érintkezne a hővel.
Az akasztónak köszönhetően a villa kényelmesen tárolható, így nem foglal felesleges helyet a konyhában vagy a grillező területen. Az Olivia rozsdamentes acél grill villa nemcsak praktikus, de tartós eszköz is, amely hosszú éveken át biztos társává válhat grillezési szezonok során.
Válassza a Barbecook BC-ACC-7037 Olivia rozsdamentes acél grill villát, és emelje új szintre a grillezést ezzel a megbízható és stílusos eszközzel.</t>
        </is>
      </c>
    </row>
    <row r="67">
      <c r="A67" s="3" t="inlineStr">
        <is>
          <t>BC-ACC-7069</t>
        </is>
      </c>
      <c r="B67" s="2" t="inlineStr">
        <is>
          <t>Barbecook BC-ACC-7069 rozsdamentes acél fogó, gumifa nyél, 100% FSC, 40cm</t>
        </is>
      </c>
      <c r="C67" s="1" t="n">
        <v>3790.0</v>
      </c>
      <c r="D67" s="7" t="n">
        <f>HYPERLINK("https://www.somogyi.hu/product/barbecook-bc-acc-7069-rozsdamentes-acel-fogo-gumifa-nyel-100-fsc-40cm-bc-acc-7069-18755","https://www.somogyi.hu/product/barbecook-bc-acc-7069-rozsdamentes-acel-fogo-gumifa-nyel-100-fsc-40cm-bc-acc-7069-18755")</f>
        <v>0.0</v>
      </c>
      <c r="E67" s="7" t="n">
        <f>HYPERLINK("https://www.somogyi.hu/data/img/product_main_images/small/18755.jpg","https://www.somogyi.hu/data/img/product_main_images/small/18755.jpg")</f>
        <v>0.0</v>
      </c>
      <c r="F67" s="2" t="inlineStr">
        <is>
          <t>5400269240585</t>
        </is>
      </c>
      <c r="G67" s="4" t="inlineStr">
        <is>
          <t>Keresi az ideális eszközt, ami minden grillezési szituációban megállja a helyét? A Barbecook BC-ACC-7069 rozsdamentes acél fogóval minden eddiginél könnyebbé válhat az ételek forgatása és megfogása a grillen. 
Ez az eszköz azok számára készült, akik precizitást és megbízhatóságot várnak el a grillezés során. A kiváló minőségű rozsdamentes acélból készült fogó nemcsak tartós és ellenálló, hanem könnyen is tisztítható, így hosszú távon számíthat rá. Az FSC® címkével ellátott termék garantálja, hogy a nyélhez használt faanyag fenntartható forrásból származik, így Ön a környezettudatosság mellett dönthet minden egyes grillezés alkalmával.
A fogó méretei – 6x4,5x40cm – tökéletesek az ételek biztonságos és hatékony forgatásához és megfogásához, legyen szó húsról, zöldségekről vagy akár kisebb grill ételekről.
Fedezze fel a grillezés új dimenzióit a Barbecook BC-ACC-7069 rozsdamentes acél fogóval.</t>
        </is>
      </c>
    </row>
    <row r="68">
      <c r="A68" s="3" t="inlineStr">
        <is>
          <t>BC-ACC-7071</t>
        </is>
      </c>
      <c r="B68" s="2" t="inlineStr">
        <is>
          <t>Barbecook BC-ACC-7071 rozsdamentes acél forgató lapát, gumifa nyél, 100% FSC, 46cm</t>
        </is>
      </c>
      <c r="C68" s="1" t="n">
        <v>3790.0</v>
      </c>
      <c r="D68" s="7" t="n">
        <f>HYPERLINK("https://www.somogyi.hu/product/barbecook-bc-acc-7071-rozsdamentes-acel-forgato-lapat-gumifa-nyel-100-fsc-46cm-bc-acc-7071-18757","https://www.somogyi.hu/product/barbecook-bc-acc-7071-rozsdamentes-acel-forgato-lapat-gumifa-nyel-100-fsc-46cm-bc-acc-7071-18757")</f>
        <v>0.0</v>
      </c>
      <c r="E68" s="7" t="n">
        <f>HYPERLINK("https://www.somogyi.hu/data/img/product_main_images/small/18757.jpg","https://www.somogyi.hu/data/img/product_main_images/small/18757.jpg")</f>
        <v>0.0</v>
      </c>
      <c r="F68" s="2" t="inlineStr">
        <is>
          <t>5400269240608</t>
        </is>
      </c>
      <c r="G68" s="4" t="inlineStr">
        <is>
          <t>Vajon mi az a grill kiegészítő, ami nélkülözhetetlen a tökéletes sült ételek elkészítéséhez? A Barbecook BC-ACC-7071 rozsdamentes acél forgató lapát a válasz, amely minden grillezési feladat során nélkülözhetetlen segítséget nyújt az ételek precíz és biztonságos forgatásához.
Ez a kiváló minőségű forgató lapát rozsdamentes acélból készült, így garantáltan hosszú távú használatot biztosít, míg a FSC® címkével ellátott gumifa nyél nemcsak a fenntarthatóságot képviseli, de kényelmes fogást is garantál a grillezés során. A kényelmes tárolást pedig az akasztó segíti, így a lapát mindig kéznél lehet, amikor szükség van rá.
Legyen szó húsok, zöldségek vagy akár tenger gyümölcseinek fordításáról, a Barbecook BC-ACC-7071 forgató lapátjával minden grillezési feladat egyszerűvé és élvezetessé válik. A precíz kialakításnak köszönhetően minden alapanyag egyenletesen és tökéletesen süthető meg, így garantálva az ízletes és látványos ételkülönlegességeket.
Hossza 46cm, így óvja kezeit a forró grillsütőtől is.
Tegye a grillezési élményt teljessé a Barbecook BC-ACC-7071 rozsdamentes acél forgató lapáttal.</t>
        </is>
      </c>
    </row>
    <row r="69">
      <c r="A69" s="3" t="inlineStr">
        <is>
          <t>BC-ACC-7072</t>
        </is>
      </c>
      <c r="B69" s="2" t="inlineStr">
        <is>
          <t>Barbecook BC-ACC-7072 rozsdamentes acél grill villa, gumifa nyél, 100% FSC, 46cm</t>
        </is>
      </c>
      <c r="C69" s="1" t="n">
        <v>3790.0</v>
      </c>
      <c r="D69" s="7" t="n">
        <f>HYPERLINK("https://www.somogyi.hu/product/barbecook-bc-acc-7072-rozsdamentes-acel-grill-villa-gumifa-nyel-100-fsc-46cm-bc-acc-7072-18758","https://www.somogyi.hu/product/barbecook-bc-acc-7072-rozsdamentes-acel-grill-villa-gumifa-nyel-100-fsc-46cm-bc-acc-7072-18758")</f>
        <v>0.0</v>
      </c>
      <c r="E69" s="7" t="n">
        <f>HYPERLINK("https://www.somogyi.hu/data/img/product_main_images/small/18758.jpg","https://www.somogyi.hu/data/img/product_main_images/small/18758.jpg")</f>
        <v>0.0</v>
      </c>
      <c r="F69" s="2" t="inlineStr">
        <is>
          <t>5400269240615</t>
        </is>
      </c>
      <c r="G69" s="4" t="inlineStr">
        <is>
          <t>Kíváncsi rá, hogyan teheti még egyszerűbbé és élvezetesebbé a grillezést? A Barbecook BC-ACC-7072 rozsdamentes acél grill villa a tökéletes választás minden grillmester számára, akik a precíz és kényelmes kiegészítőket részesítik előnyben.
Ez a prémium minőségű grill villa rozsdamentes acélból készült, ami garantálja a tartósságot és a hosszú élettartamot, miközben a FSC® címkével ellátott gumifa nyél a környezettudatos választást és a kényelmes fogást biztosítja. A praktikus akasztóval ellátott design gondoskodik arról, hogy a villa mindig könnyen elérhető legyen, amikor csak szükség van rá.
Legyen szó akár húsok, zöldségek vagy halak forgatásáról, a Barbecook BC-ACC-7072 grill villa segítségével minden hozzávalót tökéletes kontroll alatt tarthat. A kényelmes fogásnak köszönhetően a hosszabb grillezési idő is zökkenőmentesen telik majd, míg a kiváló anyaghasználat biztosítja, hogy eszköze éveken át a segítségére legyen.
Fedezze fel a kényelmes és stílusos grillezés új dimenzióit a Barbecook BC-ACC-7072 rozsdamentes acél grill villával.</t>
        </is>
      </c>
    </row>
    <row r="70">
      <c r="A70" s="3" t="inlineStr">
        <is>
          <t>BC-ACC-7219</t>
        </is>
      </c>
      <c r="B70" s="2" t="inlineStr">
        <is>
          <t>Barbecook BC-ACC-7219 húspogácsa formázó, 11,5cm átmérő</t>
        </is>
      </c>
      <c r="C70" s="1" t="n">
        <v>8390.0</v>
      </c>
      <c r="D70" s="7" t="n">
        <f>HYPERLINK("https://www.somogyi.hu/product/barbecook-bc-acc-7219-huspogacsa-formazo-11-5cm-atmero-bc-acc-7219-18826","https://www.somogyi.hu/product/barbecook-bc-acc-7219-huspogacsa-formazo-11-5cm-atmero-bc-acc-7219-18826")</f>
        <v>0.0</v>
      </c>
      <c r="E70" s="7" t="n">
        <f>HYPERLINK("https://www.somogyi.hu/data/img/product_main_images/small/18826.jpg","https://www.somogyi.hu/data/img/product_main_images/small/18826.jpg")</f>
        <v>0.0</v>
      </c>
      <c r="F70" s="2" t="inlineStr">
        <is>
          <t>5420059844861</t>
        </is>
      </c>
      <c r="G70" s="4" t="inlineStr">
        <is>
          <t>Szeretné otthon elkészíteni a tökéletes hamburger húspogácsákat? A Barbecook BC-ACC-7219 húspogácsa formázóval mostantól egyszerűen és gyorsan készíthet professzionális minőségű hamburgereket saját konyhájában. 
Ez a praktikus eszköz garantálja, hogy minden húspogácsa egyforma méretű és formájú legyen, így az eredmény mindig tökéletes lesz. Az 11,5 cm átmérőjű formázó ideális méretet biztosít a húspogácsákhoz, ami tökéletesen illeszkedik a legtöbb hamburger zsemléhez. A formázó könnyen kezelhető és tisztítható kialakítása miatt nem kell órákat töltenie a konyhában az előkészületekkel és az utómunkálatokkal.
Legyen szó családi összejövetelről, baráti grillezésről vagy csak egy gyors hétköznapi vacsoráról, ez az eszköz segít abban, hogy a hamburgerkészítés mindig zökkenőmentes és élvezetes legyen.
Készítse el saját kézzel a legfinomabb hamburgereket a Barbecook BC-ACC-7219 húspogácsa formázó segítségével!</t>
        </is>
      </c>
    </row>
    <row r="71">
      <c r="A71" s="3" t="inlineStr">
        <is>
          <t>BC-ACC-7091</t>
        </is>
      </c>
      <c r="B71" s="2" t="inlineStr">
        <is>
          <t>Barbecook BC-ACC-7091 krómozott kolbászfogó, 40cm</t>
        </is>
      </c>
      <c r="C71" s="1" t="n">
        <v>2390.0</v>
      </c>
      <c r="D71" s="7" t="n">
        <f>HYPERLINK("https://www.somogyi.hu/product/barbecook-bc-acc-7091-kromozott-kolbaszfogo-40cm-bc-acc-7091-18824","https://www.somogyi.hu/product/barbecook-bc-acc-7091-kromozott-kolbaszfogo-40cm-bc-acc-7091-18824")</f>
        <v>0.0</v>
      </c>
      <c r="E71" s="7" t="n">
        <f>HYPERLINK("https://www.somogyi.hu/data/img/product_main_images/small/18824.jpg","https://www.somogyi.hu/data/img/product_main_images/small/18824.jpg")</f>
        <v>0.0</v>
      </c>
      <c r="F71" s="2" t="inlineStr">
        <is>
          <t>5400269209698</t>
        </is>
      </c>
      <c r="G71" s="4" t="inlineStr">
        <is>
          <t>Unja már a hagyományos grillfogókat, és valami újra vágyik? A Barbecook BC-ACC-7091 krómozott kolbászfogóval könnyedén megfordíthatja a kolbászokat, vagy akár más grillezendő ételeket is, anélkül, hogy megégetné magát vagy károsítaná az ételeket.
A kolbászfogó krómozott kialakítása nem csak esztétikus megjelenést biztosít, hanem hosszantartó használatot és könnyű tisztítást is ígér. A hőálló PVC fogantyú pedig gondoskodik arról, hogy a fogó használata közben a keze védve legyen a forróságtól. Tökéletes hossza (40cm) lehetővé teszi, hogy kényelmes távolságból is irányíthassa a sütési folyamatot. 
Szerezze be a Barbecook BC-ACC-7091 krómozott kolbászfogót, és tegye könnyebbé és biztonságosabbá a grillezést!</t>
        </is>
      </c>
    </row>
    <row r="72">
      <c r="A72" s="3" t="inlineStr">
        <is>
          <t>GRT06</t>
        </is>
      </c>
      <c r="B72" s="2" t="inlineStr">
        <is>
          <t>Home GRT06 hamburger prés, bordázott alumínium, átmérő 115 mm</t>
        </is>
      </c>
      <c r="C72" s="1" t="n">
        <v>4090.0</v>
      </c>
      <c r="D72" s="7" t="n">
        <f>HYPERLINK("https://www.somogyi.hu/product/home-grt06-hamburger-pres-bordazott-aluminium-atmero-115-mm-grt06-19082","https://www.somogyi.hu/product/home-grt06-hamburger-pres-bordazott-aluminium-atmero-115-mm-grt06-19082")</f>
        <v>0.0</v>
      </c>
      <c r="E72" s="7" t="n">
        <f>HYPERLINK("https://www.somogyi.hu/data/img/product_main_images/small/19082.jpg","https://www.somogyi.hu/data/img/product_main_images/small/19082.jpg")</f>
        <v>0.0</v>
      </c>
      <c r="F72" s="2" t="inlineStr">
        <is>
          <t>5999084970758</t>
        </is>
      </c>
      <c r="G72" s="4" t="inlineStr">
        <is>
          <t>Hogyan készíthet tökéletesen formázott, egyenletes vastagságú házi hamburgereket pillanatok alatt? 
A Home GRT06 hamburger prés ideális választás minden konyhába vagy kerti grillsütéshez, ahol a cél az ínycsiklandó, professzionális megjelenésű húspogácsák elkészítése – gyorsan, precízen és egyszerűen.
Masszív kialakítás – tartósság és hatékonyság minden használat során
A hamburgerprés bordázott alumínium felülettel készült, amely nemcsak a klasszikus grillmintát nyomja bele a húsba, de egyenletes hőeloszlást is biztosít a sütés során. Ezáltal a pogácsák kívül ropogósak, belül szaftosak maradnak – pont úgy, ahogy a tökéletes hamburgerhez illik. A műanyag fogantyú ergonomikus kialakítása kényelmes fogást nyújt, miközben biztosítja a megfelelő nyomóerőt a húsmasszára.
Ideális méret és súly – profi végeredmény házilag
A 115 mm átmérőjű, 75 mm magas forma lehetővé teszi, hogy akár vastagabb, laktatóbb húspogácsákat is készítsen. A prés 495 grammos súlya optimális stabilitást és nyomást biztosít, így a hús nem esik szét, a forma pedig tökéletesen egyenletes marad – mindegyik pogácsa ugyanolyan méretű és jól átsült lesz.
Praktikus és könnyen tisztítható
A bordázott alumínium bevonat nemcsak a sütés során segíti a hőkezelést, de könnyen tisztítható felületet is biztosít. Akár kézzel, akár mosogatógépben mossa el, a Home GRT06 hamburger prés újra és újra használatra kész lesz – nem kell bajlódni a megtapadt maradványokkal vagy a rozsdásodással.
Miért érdemes a Home GRT06 hamburgerprést választani?
- Bordázott alumínium felület a klasszikus grillmintához
- Tartós, mégis könnyű kialakítás
- Egyenletes vastagságú húspogácsák minden alkalommal
- Ergonomikus fogantyú a kényelmes használatért
- Egyszerűen tisztítható, higiénikus megoldás
Varázsoljon otthonába is hamburgerétteremhez méltó minőséget! A Home GRT06 hamburger prés segítségével könnyedén elkészítheti saját, tökéletes formájú húspogácsáit – legyen szó baráti grillpartiról vagy családi vacsoráról!</t>
        </is>
      </c>
    </row>
    <row r="73">
      <c r="A73" s="3" t="inlineStr">
        <is>
          <t>BC-ACC-7211</t>
        </is>
      </c>
      <c r="B73" s="2" t="inlineStr">
        <is>
          <t>Barbecook BC-ACC-7211 rozsdamentes acél edény szilikon ecsettel</t>
        </is>
      </c>
      <c r="C73" s="1" t="n">
        <v>7890.0</v>
      </c>
      <c r="D73" s="7" t="n">
        <f>HYPERLINK("https://www.somogyi.hu/product/barbecook-bc-acc-7211-rozsdamentes-acel-edeny-szilikon-ecsettel-bc-acc-7211-18767","https://www.somogyi.hu/product/barbecook-bc-acc-7211-rozsdamentes-acel-edeny-szilikon-ecsettel-bc-acc-7211-18767")</f>
        <v>0.0</v>
      </c>
      <c r="E73" s="7" t="n">
        <f>HYPERLINK("https://www.somogyi.hu/data/img/product_main_images/small/18767.jpg","https://www.somogyi.hu/data/img/product_main_images/small/18767.jpg")</f>
        <v>0.0</v>
      </c>
      <c r="F73" s="2" t="inlineStr">
        <is>
          <t>5420059844786</t>
        </is>
      </c>
      <c r="G73" s="4" t="inlineStr">
        <is>
          <t>Szeretné professzionálisan tökéletes elkészíteni a pácot grillezéshez? A Barbecook BC-ACC-7211 rozsdamentes acél edény szilikon ecsettel pontosan erre lett tervezve. 
A készlet egy praktikus edényből és egy szilikon ecsetből áll, amelyekkel könnyedén összekeverheti és alkalmazhatja pácjait, marinádjait.
Az edény rozsdamentes acélból készült, így garantálja a hosszú távú tartósságot és könnyű tisztítást, míg a szilikon ecset tökéletesen illeszkedik a kezébe, lehetővé téve a precíz és egyenletes pácbevonást. A szilikon anyag gondoskodik arról, hogy az ecset ne károsodjon használat közben, és könnyen tisztítható legyen.
Válassza a Barbecook BC-ACC-7211 rozsdamentes acél edényt szilikon ecsettel, és emelje grillezési élményét a következő szintre.</t>
        </is>
      </c>
    </row>
    <row r="74">
      <c r="A74" s="3" t="inlineStr">
        <is>
          <t>GRT09</t>
        </is>
      </c>
      <c r="B74" s="2" t="inlineStr">
        <is>
          <t>Home GRT09 BBQ készlet táskában, 4 db-os (kés, villa, lapát, csipesz)</t>
        </is>
      </c>
      <c r="C74" s="1" t="n">
        <v>6990.0</v>
      </c>
      <c r="D74" s="7" t="n">
        <f>HYPERLINK("https://www.somogyi.hu/product/home-grt09-bbq-keszlet-taskaban-4-db-os-kes-villa-lapat-csipesz-grt09-19077","https://www.somogyi.hu/product/home-grt09-bbq-keszlet-taskaban-4-db-os-kes-villa-lapat-csipesz-grt09-19077")</f>
        <v>0.0</v>
      </c>
      <c r="E74" s="7" t="n">
        <f>HYPERLINK("https://www.somogyi.hu/data/img/product_main_images/small/19077.jpg","https://www.somogyi.hu/data/img/product_main_images/small/19077.jpg")</f>
        <v>0.0</v>
      </c>
      <c r="F74" s="2" t="inlineStr">
        <is>
          <t>5999084970703</t>
        </is>
      </c>
      <c r="G74" s="4" t="inlineStr">
        <is>
          <t>Hogyan lehet még élvezetesebb és kényelmesebb a grillezés élménye otthon vagy a természetben? 
A Home GRT09 BBQ készlet egy igazán átgondolt, 4 darabos szett, amely minden szükséges eszközt tartalmaz egy tökéletes kerti sütéshez – mindezt praktikus hordtáskában, hogy bárhová könnyedén magával vihesse. Legyen szó családi hétvégéről vagy baráti grillezésről, ez a készlet garantálja a profi felkészültséget.
Minden egyben a tökéletes sütéshez
A készlet négy, gondosan megtervezett eszközt tartalmaz: egy grillcsipeszt, egy éles BBQ kést, egy masszív húsvillát és egy húsforgató lapátot. Az eszközök felületkezelt fémből készültek, amely nemcsak ellenállóvá teszi őket a hővel és nedvességgel szemben, de könnyen tisztíthatók is. A szett összsúlya mindössze 990 g, így könnyen hordozható, mégis stabil és tartós.
Részletes specifikációk:
- Csipesz: 395×65×30 mm méret, 300 g súly – ideális húsok, zöldségek biztonságos megfogásához
- Kés: 165 mm penge, 415×30 mm teljes méret, 135 g – pontos és könnyed szeleteléshez
- Húsvilla: 70 mm villa, 420×30 mm teljes méret, 139 g – tökéletes húsok mozgatásához és tálalásához
- Lapát: 80×110 mm fej, 425×80×30 mm méret, 200 g – ideális hamburger és nagyobb húsok forgatására
- Táska: 450×140×40 mm, szövetből, karton merevítéssel – biztonságos tárolás és praktikus szállítás
Egyszerűség és profizmus egyben
A strapabíró hordtáska nemcsak elegáns megjelenést biztosít, hanem védi az eszközöket a szállítás során, és rendezetten tartja azokat két használat között. Az ergonomikus kialakítás és a kényelmes fogás révén minden eszköz precízen, biztonságosan használható – legyen szó sütésről, szeletelésről vagy tálalásról.
Miért érdemes a Home GRT09 BBQ készletet választani?
- Komplex megoldás egyetlen csomagban – minden fontos eszközt tartalmaz
- Tartós, felületkezelt fém eszközök a hosszú élettartam érdekében
- Praktikus, hordozható táskával – ideális ajándék vagy utazáshoz is
- Kényelmes, jól megfogható kialakítás a biztonságos és élvezetes grillezésért
Tegye különlegessé a kerti sütéseket egy praktikus, stílusos és tartós BBQ készlettel – válassza a Home GRT09 szettet, és élvezze a grillezést úgy, mint egy profi!</t>
        </is>
      </c>
    </row>
    <row r="75">
      <c r="A75" s="3" t="inlineStr">
        <is>
          <t>BC-ACC-7062</t>
        </is>
      </c>
      <c r="B75" s="2" t="inlineStr">
        <is>
          <t>Barbecook BC-ACC-7062 rozsdamentes acél hamburger forgató, 30cm, 100% FSC</t>
        </is>
      </c>
      <c r="C75" s="1" t="n">
        <v>3890.0</v>
      </c>
      <c r="D75" s="7" t="n">
        <f>HYPERLINK("https://www.somogyi.hu/product/barbecook-bc-acc-7062-rozsdamentes-acel-hamburger-forgato-30cm-100-fsc-bc-acc-7062-18731","https://www.somogyi.hu/product/barbecook-bc-acc-7062-rozsdamentes-acel-hamburger-forgato-30cm-100-fsc-bc-acc-7062-18731")</f>
        <v>0.0</v>
      </c>
      <c r="E75" s="7" t="n">
        <f>HYPERLINK("https://www.somogyi.hu/data/img/product_main_images/small/18731.jpg","https://www.somogyi.hu/data/img/product_main_images/small/18731.jpg")</f>
        <v>0.0</v>
      </c>
      <c r="F75" s="2" t="inlineStr">
        <is>
          <t>5400269240691</t>
        </is>
      </c>
      <c r="G75" s="4" t="inlineStr">
        <is>
          <t>A tökéletes eszközt keresi, hogy hamburgereit profi módon fordíthassa meg a grillen? A Barbecook BC-ACC-7062 rozsdamentes acél hamburger forgatóval mindez gyerekjáték lesz! 
Ez az eszköz nemcsak a hamburger pogácsák, de a húsok és zöldségek fordítására is tökéletesen alkalmas, így minden grillezési igényét kielégíti.
Rozsdamentes acélból készült, így nemcsak tartós és megbízható, hanem könnyen tisztítható is, így a grillezés utáni takarítás sem jelent majd problémát. Az FSC® címkével ellátott termékkel Ön nemcsak a környezetet kíméli, de garantáltan minőségi eszközt is választ.
A 30x12xcm-es hamburger forgató ideális méretű, így könnyedén kezelheti vele akár a legnagyobb hamburger pogácsákat is. Az ergonomikus tervezésű fogantyú biztosítja, hogy minden fordítás precíz és kényelmes legyen.
Tegye grillezési élményét teljessé a Barbecook BC-ACC-7062 rozsdamentes acél hamburger forgatóval.</t>
        </is>
      </c>
    </row>
    <row r="76">
      <c r="A76" s="3" t="inlineStr">
        <is>
          <t>BC-ACC-7050</t>
        </is>
      </c>
      <c r="B76" s="2" t="inlineStr">
        <is>
          <t>Barbecook BC-ACC-7050 műanyag védőszőnyeg, 120x80cm, fekete</t>
        </is>
      </c>
      <c r="C76" s="1" t="n">
        <v>16390.0</v>
      </c>
      <c r="D76" s="7" t="n">
        <f>HYPERLINK("https://www.somogyi.hu/product/barbecook-bc-acc-7050-muanyag-vedoszonyeg-120x80cm-fekete-bc-acc-7050-18780","https://www.somogyi.hu/product/barbecook-bc-acc-7050-muanyag-vedoszonyeg-120x80cm-fekete-bc-acc-7050-18780")</f>
        <v>0.0</v>
      </c>
      <c r="E76" s="7" t="n">
        <f>HYPERLINK("https://www.somogyi.hu/data/img/product_main_images/small/18780.jpg","https://www.somogyi.hu/data/img/product_main_images/small/18780.jpg")</f>
        <v>0.0</v>
      </c>
      <c r="F76" s="2" t="inlineStr">
        <is>
          <t>5400269210588</t>
        </is>
      </c>
      <c r="G76" s="4" t="inlineStr">
        <is>
          <t>Aggódik, hogy a grillezés során a terasz vagy a konyha padlója zsírfoltos és szennyezett lesz? A Barbecook BC-ACC-7050 műanyag védőszőnyeg a tökéletes megoldás, amely megvédi a felületet mindenféle szennyeződéstől és zsírtól, így Ön nyugodtan élvezheti a grillezés minden pillanatát, anélkül, hogy a takarítás miatt kellene aggódnia.
Ez a praktikus és csúszásmentes védőszőnyeg nemcsak hatékony védelmet nyújt, hanem fekete színének köszönhetően elegáns és diszkrét is. Könnyedén tisztítható, így a használat utáni takarítás sem jelent majd problémát. Fontos megjegyezni, hogy a szőnyeg nem hőálló, tehát közvetlen hőforrásoktól távol kell tartani.
A szőnyeg méretei - 120x0,2x80cm- elegendően nagyok ahhoz, hogy megfelelő védelmet biztosítsanak a legtöbb grill és kültéri sütőfelület alatt.
Tegye a grillezést gondtalan élménnyé a Barbecook BC-ACC-7050 műanyag védőszőnyeggel, amely megóvja padlója tisztaságát.</t>
        </is>
      </c>
    </row>
    <row r="77">
      <c r="A77" s="3" t="inlineStr">
        <is>
          <t>10-238-004</t>
        </is>
      </c>
      <c r="B77" s="2" t="inlineStr">
        <is>
          <t>Nava 10-238-004 BBQ Guru szilikon ecset, fa nyél, 41 cm</t>
        </is>
      </c>
      <c r="C77" s="1" t="n">
        <v>1650.0</v>
      </c>
      <c r="D77" s="7" t="n">
        <f>HYPERLINK("https://www.somogyi.hu/product/nava-10-238-004-bbq-guru-szilikon-ecset-fa-nyel-41-cm-10-238-004-18674","https://www.somogyi.hu/product/nava-10-238-004-bbq-guru-szilikon-ecset-fa-nyel-41-cm-10-238-004-18674")</f>
        <v>0.0</v>
      </c>
      <c r="E77" s="7" t="n">
        <f>HYPERLINK("https://www.somogyi.hu/data/img/product_main_images/small/18674.jpg","https://www.somogyi.hu/data/img/product_main_images/small/18674.jpg")</f>
        <v>0.0</v>
      </c>
      <c r="F77" s="2" t="inlineStr">
        <is>
          <t>5205746152937</t>
        </is>
      </c>
      <c r="G77" s="4" t="inlineStr">
        <is>
          <t>Szeretné egyenletesen eloszlatni a mártásokat és olajokat a grillezés során? A Nava 10-238-004 BBQ Guru szilikon ecset minden grillező álma, amely tökéletes társ a BBQ szezonban.
Különleges kialakítású, 41  cm hosszú nyelével könnyedén kezelhető még a legforróbb grill felett is, miközben az ergonomikus, csúszásmentes fa fogantyú kényelmes és biztonságos fogást nyújt.
Tartsa kezeit biztonságban a tűztől, és használja ezt a speciálisan tervezett szilikon ecsetet, hogy egyenletesen tudja eloszlatni a mártásokat a húsokon. A rozsdamentes acélból készült ecset rendkívüli tartósságot biztosít hosszú távú használathoz. Mosogatógépben is tisztítható, így a karbantartása egyszerű és gyors.
Néhány tipp, hogy sokáig és biztonságosan használhassa a terméket:
* Az első használat előtt mossa el az eszközöket langyos vízben, mosogatószerrel és egy puha szivaccsal.
* Minden használat után alaposan mossa el és szárítsa meg egy száraz ruhával.
* Kerülje a fémszivacsok, drót vagy erős tisztítószerek használatát.
* Rozsdamentes acél termékekhez ajánlott tisztítószerek használata javasolt.
* A termék élettartamának meghosszabbítása érdekében részesítse előnyben a kézi mosást.
* Használatkor mindig a fa fogantyúnál fogja az eszközöket. Csak a fogantyújánál fogva vigye és kezelje.
* Soha ne hagyja őket a tűzön. Ha nem használja őket, helyezze a pultra vagy a grill különleges akasztójára.
* Mindig tartsa távol a gyermekektől.
A Nava BBQ Guru szilikon ecsettel minden grillezési élmény egyszerűbbé és élvezetesebbé válik.</t>
        </is>
      </c>
    </row>
    <row r="78">
      <c r="A78" s="3" t="inlineStr">
        <is>
          <t>BC-ACC-7080</t>
        </is>
      </c>
      <c r="B78" s="2" t="inlineStr">
        <is>
          <t>Barbecook BC-ACC-7080 zománcozott grilltálca, 34,5x24cm</t>
        </is>
      </c>
      <c r="C78" s="1" t="n">
        <v>6590.0</v>
      </c>
      <c r="D78" s="7" t="n">
        <f>HYPERLINK("https://www.somogyi.hu/product/barbecook-bc-acc-7080-zomancozott-grilltalca-34-5x24cm-bc-acc-7080-18823","https://www.somogyi.hu/product/barbecook-bc-acc-7080-zomancozott-grilltalca-34-5x24cm-bc-acc-7080-18823")</f>
        <v>0.0</v>
      </c>
      <c r="E78" s="7" t="n">
        <f>HYPERLINK("https://www.somogyi.hu/data/img/product_main_images/small/18823.jpg","https://www.somogyi.hu/data/img/product_main_images/small/18823.jpg")</f>
        <v>0.0</v>
      </c>
      <c r="F78" s="2" t="inlineStr">
        <is>
          <t>5400269220921</t>
        </is>
      </c>
      <c r="G78" s="4" t="inlineStr">
        <is>
          <t>Szeretné a grillezési élményt tisztán és egyszerűen fenntartani? A Barbecook BC-ACC-7080 zománcozott grilltálca az ideális megoldás minden grillező számára, aki értékeli a kényelmet és a tisztaságot.
Ez a praktikus, 34,5x24cm méretű grilltálca kiváló minőségű, zománcozott anyagból készült, így ellenáll a magas hőmérsékletnek és megakadályozza, hogy az ételmaradékok közvetlenül a grillre kerüljenek. Faszenes és gázgrillekkel egyaránt használható, így bármilyen típusú grillezéshez tökéletes választás.
A tálca mosogatógépben is mosható, így a grillezés utáni takarítás nem jelent többé problémát. A zománcozott felület hosszú élettartamot és egyszerű tisztítást biztosít, így több idő marad az ízletes ételek élvezetére és a szabadidőre.
Válassza a Barbecook BC-ACC-7080 zománcozott grilltálcát, és élvezze a problémamentes, tiszta grillezést minden alkalommal!</t>
        </is>
      </c>
    </row>
    <row r="79">
      <c r="A79" s="3" t="inlineStr">
        <is>
          <t>10-238-005</t>
        </is>
      </c>
      <c r="B79" s="2" t="inlineStr">
        <is>
          <t>Nava 10-238-005 BBQ Guru rozsdamentes acél grill spatula és kaparó,fa nyél,  26 cm</t>
        </is>
      </c>
      <c r="C79" s="1" t="n">
        <v>2290.0</v>
      </c>
      <c r="D79" s="7" t="n">
        <f>HYPERLINK("https://www.somogyi.hu/product/nava-10-238-005-bbq-guru-rozsdamentes-acel-grill-spatula-es-kaparo-fa-nyel-26-cm-10-238-005-18673","https://www.somogyi.hu/product/nava-10-238-005-bbq-guru-rozsdamentes-acel-grill-spatula-es-kaparo-fa-nyel-26-cm-10-238-005-18673")</f>
        <v>0.0</v>
      </c>
      <c r="E79" s="7" t="n">
        <f>HYPERLINK("https://www.somogyi.hu/data/img/product_main_images/small/18673.jpg","https://www.somogyi.hu/data/img/product_main_images/small/18673.jpg")</f>
        <v>0.0</v>
      </c>
      <c r="F79" s="2" t="inlineStr">
        <is>
          <t>5205746153378</t>
        </is>
      </c>
      <c r="G79" s="4" t="inlineStr">
        <is>
          <t>Szeretne egy sokoldalú spatulát, ami megkönnyíti a grillezést és a grill tisztítását is? A Nava 10-238-005 BBQ Guru rozsdamentes acél grill spatula nélkülözhetetlen eszköz minden BBQ szerető számára, amely valódi segítséget nyújt a grill mellett. 
Kiváló minőségű rozsdamentes acélból készült, rendkívüli tartósságot biztosít hosszú távú használatra. Ergonomikus, csúszásmentes fa fogantyúja kényelmes és biztonságos kezelést tesz lehetővé. Ez a széles spatula két funkcióval rendelkezik: egyrészt tökéletesen alkalmas a sültek elhelyezésére és megfordítására a grillen, másrészt a grillrácson megragadt zsírok eltávolítására is használható. Mosogatógépben mosható, így a tisztítása is egyszerű és gyors.
Néhány tipp, hogy sokáig és biztonságosan használhassa a terméket:
* Az első használat előtt mossa el az eszközöket langyos vízben, mosogatószerrel és egy puha szivaccsal.
* Minden használat után alaposan mossa el és szárítsa meg egy száraz ruhával.
* Kerülje a fémszivacsok, drót vagy erős tisztítószerek használatát.
* Rozsdamentes acél termékekhez ajánlott tisztítószerek használata javasolt.
* A termék élettartamának meghosszabbítása érdekében részesítse előnyben a kézi mosást.
* Használatkor mindig a fa fogantyúnál fogja az eszközöket. Csak a fogantyújánál fogva vigye és kezelje.
* Soha ne hagyja őket a tűzön. Ha nem használja őket, helyezze a pultra vagy a grill különleges akasztójára.
* Mindig tartsa távol a gyermekektől.
A Nava BBQ Guru rozsdamentes acél grill spatula tökéletes választás mindenki számára, aki szeretné egyszerűsíteni a grillezési folyamatot és megkönnyíteni a grill utáni takarítást.</t>
        </is>
      </c>
    </row>
    <row r="80">
      <c r="A80" s="3" t="inlineStr">
        <is>
          <t>BC-ACC-7026</t>
        </is>
      </c>
      <c r="B80" s="2" t="inlineStr">
        <is>
          <t>Barbecook BC-ACC-7026 army stílusú forgató lapát, 38cm-es, khaki zöld nyél</t>
        </is>
      </c>
      <c r="C80" s="1" t="n">
        <v>5590.0</v>
      </c>
      <c r="D80" s="7" t="n">
        <f>HYPERLINK("https://www.somogyi.hu/product/barbecook-bc-acc-7026-army-stilusu-forgato-lapat-38cm-es-khaki-zold-nyel-bc-acc-7026-18761","https://www.somogyi.hu/product/barbecook-bc-acc-7026-army-stilusu-forgato-lapat-38cm-es-khaki-zold-nyel-bc-acc-7026-18761")</f>
        <v>0.0</v>
      </c>
      <c r="E80" s="7" t="n">
        <f>HYPERLINK("https://www.somogyi.hu/data/img/product_main_images/small/18761.jpg","https://www.somogyi.hu/data/img/product_main_images/small/18761.jpg")</f>
        <v>0.0</v>
      </c>
      <c r="F80" s="2" t="inlineStr">
        <is>
          <t>5400269202958</t>
        </is>
      </c>
      <c r="G80" s="4" t="inlineStr">
        <is>
          <t>Szeretne egy egyedi és praktikus eszközt, ami megkönnyíti a grillezést? A Barbecook BC-ACC-7026 army stílusú forgató lapát tökéletes választás azok számára, akik nem csak funkcionalitásra, hanem stílusra is nagy hangsúlyt fektetnek. 
Ez a forgató lapát kiválóan alkalmas hús, hal és zöldség forgatására, így minden grillezési feladatra felkészülhet. A khaki zöld nyél azonnal szemet vonz és egy katonai ihletet visz a grillezési kiegészítők közé, emelve ezzel a szabadtéri főzési élményt. A könnyen tisztítható anyagnak köszönhetően a forgató lapát hosszú ideig megőrzi eredeti állapotát és higiénikus marad. A termék méretei – 8,5x1,5x38cm – ideálisak a kényelmes és hatékony használathoz.
Tegye a grillezés minden pillanatát különlegessé a Barbecook BC-ACC-7026 army stílusú forgató lapáttal.</t>
        </is>
      </c>
    </row>
    <row r="81">
      <c r="A81" s="3" t="inlineStr">
        <is>
          <t>BC-ACC-7094</t>
        </is>
      </c>
      <c r="B81" s="2" t="inlineStr">
        <is>
          <t>Barbecook BC-ACC-7094 rozsdamentes acél grill készlet, 100% FSC, fa nyél</t>
        </is>
      </c>
      <c r="C81" s="1" t="n">
        <v>10390.0</v>
      </c>
      <c r="D81" s="7" t="n">
        <f>HYPERLINK("https://www.somogyi.hu/product/barbecook-bc-acc-7094-rozsdamentes-acel-grill-keszlet-100-fsc-fa-nyel-bc-acc-7094-18719","https://www.somogyi.hu/product/barbecook-bc-acc-7094-rozsdamentes-acel-grill-keszlet-100-fsc-fa-nyel-bc-acc-7094-18719")</f>
        <v>0.0</v>
      </c>
      <c r="E81" s="7" t="n">
        <f>HYPERLINK("https://www.somogyi.hu/data/img/product_main_images/small/18719.jpg","https://www.somogyi.hu/data/img/product_main_images/small/18719.jpg")</f>
        <v>0.0</v>
      </c>
      <c r="F81" s="2" t="inlineStr">
        <is>
          <t>5400269240646</t>
        </is>
      </c>
      <c r="G81" s="4" t="inlineStr">
        <is>
          <t>A tökéletes eszközöket keresi a grillezéshez? A Barbecook BC-ACC-7094 rozsdamentes acél grill készlet minden, ami egy jól sikerült grillezéshez kell. 
A csomag tartalmaz egy spatulát, egy villát és egy fogót, melyekkel minden feladat könnyedén megoldható. Az FSC® minősítéssel rendelkező fa nyelű eszközök nem csak praktikusak, de kiváló minőségűek is.
Az eszközök kényelmes tárolását akasztóhurokok segítik, így könnyedén elhelyezheti őket a grill mellett vagy tárolhatja őket, amikor nem használja őket. A rozsdamentes acél anyag biztosítja a tartósságot és az egyszerű tisztíthatóságot, míg a 470mm hosszúságú eszközök ideális méretet kínálnak minden felhasználáshoz.
Tegye grillezési élményét egyszerűbbé és élvezetesebbé a Barbecook rozsdamentes acél grill készlettel!</t>
        </is>
      </c>
    </row>
    <row r="82">
      <c r="A82" s="3" t="inlineStr">
        <is>
          <t>BC-ACC-7125</t>
        </is>
      </c>
      <c r="B82" s="2" t="inlineStr">
        <is>
          <t>Barbecook BC-ACC-7125 rozsdamentes acél grill halforgató, fa nyél, 100% FSC, 37cm</t>
        </is>
      </c>
      <c r="C82" s="1" t="n">
        <v>5890.0</v>
      </c>
      <c r="D82" s="7" t="n">
        <f>HYPERLINK("https://www.somogyi.hu/product/barbecook-bc-acc-7125-rozsdamentes-acel-grill-halforgato-fa-nyel-100-fsc-37cm-bc-acc-7125-18732","https://www.somogyi.hu/product/barbecook-bc-acc-7125-rozsdamentes-acel-grill-halforgato-fa-nyel-100-fsc-37cm-bc-acc-7125-18732")</f>
        <v>0.0</v>
      </c>
      <c r="E82" s="7" t="n">
        <f>HYPERLINK("https://www.somogyi.hu/data/img/product_main_images/small/18732.jpg","https://www.somogyi.hu/data/img/product_main_images/small/18732.jpg")</f>
        <v>0.0</v>
      </c>
      <c r="F82" s="2" t="inlineStr">
        <is>
          <t>5400269203009</t>
        </is>
      </c>
      <c r="G82" s="4" t="inlineStr">
        <is>
          <t>Keres egy megoldást, hogy halait tökéletesre grillezhesse, anélkül, hogy szétesnének? A Barbecook BC-ACC-7125 rozsdamentes acél grill halforgató pontosan ezt kínálja Önnek. 
Ez az eszköz kifejezetten a halak forgatásához lett tervezve, így garantálja, hogy kedvenc tengeri ételeit egyszerűen és kényelmesen tudja kezelni a grillen.
A termék fa nyele nem csak elegáns megjelenést biztosít, hanem a használata is kényelmes, így hosszabb grillezési munkálatok során is megállja a helyét. Az FSC® címkével ellátott fa nyél fenntartható erdőgazdálkodásból származik, így Ön nem csak a grillezés élvezetéhez, de a környezettudatos életmódhoz is hozzájárul. A praktikus akasztóhuroknak köszönhetően a halforgatót egyszerűen tárolhatja, így mindig kéznél lesz, amikor szükség van rá.
Tegye grillezési élményét problémamentessé a Barbecook rozsdamentes acél grill halforgatóval, mely ideális társ lesz a halak tökéletes elkészítéséhez!</t>
        </is>
      </c>
    </row>
    <row r="83">
      <c r="A83" s="3" t="inlineStr">
        <is>
          <t>BC-ACC-7083</t>
        </is>
      </c>
      <c r="B83" s="2" t="inlineStr">
        <is>
          <t>Barbecook BC-ACC-7083 grillháló, 36x42cm</t>
        </is>
      </c>
      <c r="C83" s="1" t="n">
        <v>3890.0</v>
      </c>
      <c r="D83" s="7" t="n">
        <f>HYPERLINK("https://www.somogyi.hu/product/barbecook-bc-acc-7083-grillhalo-36x42cm-bc-acc-7083-18736","https://www.somogyi.hu/product/barbecook-bc-acc-7083-grillhalo-36x42cm-bc-acc-7083-18736")</f>
        <v>0.0</v>
      </c>
      <c r="E83" s="7" t="n">
        <f>HYPERLINK("https://www.somogyi.hu/data/img/product_main_images/small/18736.jpg","https://www.somogyi.hu/data/img/product_main_images/small/18736.jpg")</f>
        <v>0.0</v>
      </c>
      <c r="F83" s="2" t="inlineStr">
        <is>
          <t>5400269238773</t>
        </is>
      </c>
      <c r="G83" s="4" t="inlineStr">
        <is>
          <t>Unja már, hogy sütéskor az ételek odaragadnak a grillrácsra? A Barbecook BC-ACC-7083 grillhálóval ez már a múlté! Ez az innovatív grillkellék megváltoztatja a grillezés módját, megkönnyítve az előkészületeket és takarítást, így Ön több időt tölthet a vendégeivel és kevesebbet mosogatással.
A 36x42 cm méretű grillháló kifejezetten apróbb ételek, mint például zöldségek, tengeri herkentyűk vagy kisebb húsok grillezésére lett tervezve. Az Icflon® bevonattal ellátott, tapadásmentes felület garantálja, hogy ételei tökéletes állapotban kerüljenek a tányérra, anélkül, hogy a grillrácsra ragadnának. Ez nemcsak az ételek ízét javítja, hanem egészségesebbé is teszi őket, mivel kevesebb olaj vagy zsír szükséges a sütéshez.
A grillháló használata egyszerű: helyezze a hálót a szén- vagy gázgrill rácsára, és máris kész az egészséges, tapadásmentes sütőfelület. A kis méretű alapanyagok, mint például a nyársak részei sem esnek többé a rácsok közé, csökkentve az élelmiszer-pazarlást és a lángok felcsapódásának kockázatát, így biztonságosabbá téve a grillezést.
Tisztítása rendkívül egyszerű: hagyja hűlni a grillezés után, majd áztassa be meleg vízbe néhány csepp mosogatószerrel, ezt követően könnyedén eltávolíthatja az ételmaradékokat. A grillháló akár mosogatógépben is tisztítható, így a tisztán tartása semmilyen plusz erőfeszítést nem igényel.
Búcsút inthet a hosszadalmas takarításnak a Barbecook BC-ACC-7083 grillhálóval.</t>
        </is>
      </c>
    </row>
    <row r="84">
      <c r="A84" s="3" t="inlineStr">
        <is>
          <t>BC-ACC-7447</t>
        </is>
      </c>
      <c r="B84" s="2" t="inlineStr">
        <is>
          <t>Barbecook BC-ACC-7447 acél szikrafogó rács, fekete</t>
        </is>
      </c>
      <c r="C84" s="1" t="n">
        <v>32190.0</v>
      </c>
      <c r="D84" s="7" t="n">
        <f>HYPERLINK("https://www.somogyi.hu/product/barbecook-bc-acc-7447-acel-szikrafogo-racs-fekete-bc-acc-7447-18769","https://www.somogyi.hu/product/barbecook-bc-acc-7447-acel-szikrafogo-racs-fekete-bc-acc-7447-18769")</f>
        <v>0.0</v>
      </c>
      <c r="E84" s="7" t="n">
        <f>HYPERLINK("https://www.somogyi.hu/data/img/product_main_images/small/18769.jpg","https://www.somogyi.hu/data/img/product_main_images/small/18769.jpg")</f>
        <v>0.0</v>
      </c>
      <c r="F84" s="2" t="inlineStr">
        <is>
          <t>5404035700679</t>
        </is>
      </c>
      <c r="G84" s="4" t="inlineStr">
        <is>
          <t>Aggódik a kirepülő szikrák miatt a tűztál használata közben? A Barbecook BC-ACC-7447 acél szikrafogó rács biztonságot és nyugalmat nyújt a tűztálak használata során, védelmet biztosítva a kirepülő szikrák ellen. 
Ez a strapabíró acélból készült szikrafogó rács kompatibilis a Barbecook Jack 75 és a Barbecook Modern 75 tűztálakkal, garantálva a tökéletes illeszkedést és maximális védelmet. A rács mérete 75x75x15 cm, így ideális választás nagyobb tűztálakhoz is.
A fekete színű acél konstrukció nemcsak esztétikus, hanem rendkívül ellenálló is, így hosszú élettartamot biztosít. A szikrafogó rács használatával biztonságosan élvezheti a tábortüzet vagy a kerti összejöveteleket, anélkül hogy aggódnia kellene a szikrák által okozott esetleges balesetek miatt.
 Ne kockáztasson, biztosítsa a maximális biztonságot a Barbecook BC-ACC-7447 acél szikrafogó ráccsal, és élvezze a gondtalan tűzrakást a kertjében!</t>
        </is>
      </c>
    </row>
    <row r="85">
      <c r="A85" s="3" t="inlineStr">
        <is>
          <t>BC-ACC-7470</t>
        </is>
      </c>
      <c r="B85" s="2" t="inlineStr">
        <is>
          <t>Barbecook BC-ACC-7470 bőr grillkesztyű</t>
        </is>
      </c>
      <c r="C85" s="1" t="n">
        <v>13190.0</v>
      </c>
      <c r="D85" s="7" t="n">
        <f>HYPERLINK("https://www.somogyi.hu/product/barbecook-bc-acc-7470-bor-grillkesztyu-bc-acc-7470-18726","https://www.somogyi.hu/product/barbecook-bc-acc-7470-bor-grillkesztyu-bc-acc-7470-18726")</f>
        <v>0.0</v>
      </c>
      <c r="E85" s="7" t="n">
        <f>HYPERLINK("https://www.somogyi.hu/data/img/product_main_images/small/18726.jpg","https://www.somogyi.hu/data/img/product_main_images/small/18726.jpg")</f>
        <v>0.0</v>
      </c>
      <c r="F85" s="2" t="inlineStr">
        <is>
          <t>5404035706749</t>
        </is>
      </c>
      <c r="G85" s="4" t="inlineStr">
        <is>
          <t>Gondoskodott már kezei védelméről ha grillezésről van szó? A Barbecook BC-ACC-7470 bőr grillkesztyű kiváló választás minden grillező számára, aki biztonságosan akar sütni. 
Ezek a 100%-ban bőrből készült, hőálló kesztyűk akár 200°C-os hőmérsékletig biztosítanak védelmet, így Ön nyugodtan koncentrálhat az ízek varázslatára, anélkül, hogy aggódnia kellene kezei épsége miatt. A kesztyűk fekete színű tenyér és ujj részei kevésbé érzékenyek a szennyeződésekre, így hosszabb ideig megőrzik tiszta megjelenésüket, még intenzív használat mellett is. A hosszú szár az alkar védelmét biztosítják, míg a praktikus hurok segítségével a kesztyűket könnyedén felakaszthatja, amikor éppen nem használja őket.
Legyen profi a grillezés terén a Barbecook BC-ACC-7470 bőr grillkesztyűvel, amely nemcsak védelmet nyújt, hanem stílusos kiegészítője is lesz grillezési felszerelésének.</t>
        </is>
      </c>
    </row>
    <row r="86">
      <c r="A86" s="3" t="inlineStr">
        <is>
          <t>BC-ACC-7099</t>
        </is>
      </c>
      <c r="B86" s="2" t="inlineStr">
        <is>
          <t>Barbecook BC-ACC-7099 hosszú pamut és alumínium grillkesztyű, fekete, 40cm</t>
        </is>
      </c>
      <c r="C86" s="1" t="n">
        <v>6890.0</v>
      </c>
      <c r="D86" s="7" t="n">
        <f>HYPERLINK("https://www.somogyi.hu/product/barbecook-bc-acc-7099-hosszu-pamut-es-aluminium-grillkesztyu-fekete-40cm-bc-acc-7099-18770","https://www.somogyi.hu/product/barbecook-bc-acc-7099-hosszu-pamut-es-aluminium-grillkesztyu-fekete-40cm-bc-acc-7099-18770")</f>
        <v>0.0</v>
      </c>
      <c r="E86" s="7" t="n">
        <f>HYPERLINK("https://www.somogyi.hu/data/img/product_main_images/small/18770.jpg","https://www.somogyi.hu/data/img/product_main_images/small/18770.jpg")</f>
        <v>0.0</v>
      </c>
      <c r="F86" s="2" t="inlineStr">
        <is>
          <t>5400269238834</t>
        </is>
      </c>
      <c r="G86" s="4" t="inlineStr">
        <is>
          <t>Szeretné megóvni kezeit grillezés közben? A Barbecook BC-ACC-7099 hosszú pamut grillkesztyű az ideális megoldás az Ön számára. 
Ez a kiváló minőségű, 100% pamutból készült kesztyű extra hosszúságával, 40cm-es méretével kínál kényelmet és védelmet a grill melegétől.
Az ezüst színű, alumínium szigetelőréteg garantálja a hő elleni védelem magas szintjét, így Ön biztonságosan és kényelmesen kezelheti a forró eszközöket. A fekete szín eleganciát és stílust kölcsönöz, miközben praktikus funkciót tölt be.
Tegyen szert a Barbecook hosszú pamut grillkesztyűre, és élvezze a grillezés minden pillanatát gond nélkül!</t>
        </is>
      </c>
    </row>
    <row r="87">
      <c r="A87" s="3" t="inlineStr">
        <is>
          <t>BC-ACC-7052</t>
        </is>
      </c>
      <c r="B87" s="2" t="inlineStr">
        <is>
          <t>Barbecook BC-ACC-7052 prémium grillkesztyű, 33cm, fekete</t>
        </is>
      </c>
      <c r="C87" s="1" t="n">
        <v>17390.0</v>
      </c>
      <c r="D87" s="7" t="n">
        <f>HYPERLINK("https://www.somogyi.hu/product/barbecook-bc-acc-7052-premium-grillkesztyu-33cm-fekete-bc-acc-7052-18740","https://www.somogyi.hu/product/barbecook-bc-acc-7052-premium-grillkesztyu-33cm-fekete-bc-acc-7052-18740")</f>
        <v>0.0</v>
      </c>
      <c r="E87" s="7" t="n">
        <f>HYPERLINK("https://www.somogyi.hu/data/img/product_main_images/small/18740.jpg","https://www.somogyi.hu/data/img/product_main_images/small/18740.jpg")</f>
        <v>0.0</v>
      </c>
      <c r="F87" s="2" t="inlineStr">
        <is>
          <t>5400269210595</t>
        </is>
      </c>
      <c r="G87" s="4" t="inlineStr">
        <is>
          <t>Szeretne biztonságosan grillezni anélkül, hogy aggódnia kellene az égési sérülések miatt? A Barbecook BC-ACC-7052 prémium kesztyű tökéletes társa lesz a grillezés során, megvédi a kezét a magas hőmérséklettől, miközben kiváló tapadást biztosít.
Ez a különleges kesztyű tűzálló szilikon csíkokkal van ellátva, amelyek növelik a fogás biztonságát és stabilitását, legyen szó akár forró edények, grillrácson vagy sütőformákon való fogásról. Kiváló hőállóságának köszönhetően, amely eléri a 350°C-ot, a kesztyű ideális választás a grillezéshez, beleértve a meleg szén vagy grillrácson való munkát is.
A kesztyű méretei – 15x1x33cm– tökéletes illeszkedést biztosítanak, maximális kényelmet és védelmet nyújtanak használat közben.
Bízza keze védelmét a Barbecook BC-ACC-7052 prémium kesztyűre, és koncentráljon teljes mértékben a grillezés örömére.</t>
        </is>
      </c>
    </row>
    <row r="88">
      <c r="A88" s="3" t="inlineStr">
        <is>
          <t>GRT07</t>
        </is>
      </c>
      <c r="B88" s="2" t="inlineStr">
        <is>
          <t>Home GRT07 BBQ rozsdamentes fém tálca, 345×242×25mm</t>
        </is>
      </c>
      <c r="C88" s="1" t="n">
        <v>1890.0</v>
      </c>
      <c r="D88" s="7" t="n">
        <f>HYPERLINK("https://www.somogyi.hu/product/home-grt07-bbq-rozsdamentes-fem-talca-345-242-25mm-grt07-19075","https://www.somogyi.hu/product/home-grt07-bbq-rozsdamentes-fem-talca-345-242-25mm-grt07-19075")</f>
        <v>0.0</v>
      </c>
      <c r="E88" s="7" t="n">
        <f>HYPERLINK("https://www.somogyi.hu/data/img/product_main_images/small/19075.jpg","https://www.somogyi.hu/data/img/product_main_images/small/19075.jpg")</f>
        <v>0.0</v>
      </c>
      <c r="F88" s="2" t="inlineStr">
        <is>
          <t>5999084970680</t>
        </is>
      </c>
      <c r="G88" s="4" t="inlineStr">
        <is>
          <t>Hogyan lehet egyszerre ízletes és egészséges a grillezés? 
A válasz a Home GRT07 BBQ rozsdamentes fém tálca, amelyet kifejezetten úgy terveztek, hogy tökéletes sütési eredményeket biztosítson, miközben csökkenti a felesleges zsiradék visszakerülését az ételbe. Ideális választás mindazoknak, akik tudatosan étkeznek, de nem akarnak kompromisszumot kötni az ízek terén.
Praktikus kialakítás a hatékony grillezéshez
A rozsdamentes acélból készült tálca tartós és hőálló, így hosszú távon is megbízható társ minden grillező számára. Perforált felülete gondoskodik arról, hogy a felesleges zsír és nedvesség lecsorogjon, ezáltal az ételek kívül ropogósak, belül pedig szaftosak maradnak – ráadásul kevesebb füst és lerakódás keletkezik a grillben, így a takarítás is könnyebb.
Ideális méret minden grilltípushoz
A 345×242×25 mm-es méretnek köszönhetően a tálca sokféle grillsütőben kényelmesen használható, legyen szó gáz-, faszenes vagy elektromos készülékről. Kompakt, mégis elegendő felületet biztosít több adag hús, zöldség vagy hal grillezésére egyszerre, így praktikus választás akár kisebb családi grillezésekhez, akár nagyobb társasági eseményekhez.
Higiénikus és könnyen tisztítható
A rozsdamentes acél felület nemcsak esztétikus és modern megjelenést kölcsönöz, hanem ellenáll a korróziónak és az elszíneződésnek is. A sima felület és az átgondolt kialakítás megkönnyíti a tisztítást – egyszerűen letörölhető, de mosogatógépben is mosható, így időt és energiát takarít meg.
Miért érdemes a Home GRT07 BBQ tálcát választani?
- Egészségesebb grillezés a perforált kialakításnak köszönhetően
- Rozsdamentes acélból készült, tartós és időtálló
- Kompatibilis a legtöbb grillsütő típussal
- Könnyen tisztítható és higiénikus
- Ropogósabb, ízletesebb ételek kevesebb zsírral
Tegye élménnyé a sütést, és élvezze az egészségesebb, ízletesebb grillételeket a Home GRT07 BBQ fém tálcával – praktikum, dizájn és hatékonyság egyetlen termékben!</t>
        </is>
      </c>
    </row>
    <row r="89">
      <c r="A89" s="3" t="inlineStr">
        <is>
          <t>GRT10</t>
        </is>
      </c>
      <c r="B89" s="2" t="inlineStr">
        <is>
          <t>Home GRT10 húskiszedő csipesz, krómozott acél, 39 cm, gumírozott fogantyú</t>
        </is>
      </c>
      <c r="C89" s="1" t="n">
        <v>1290.0</v>
      </c>
      <c r="D89" s="7" t="n">
        <f>HYPERLINK("https://www.somogyi.hu/product/home-grt10-huskiszedo-csipesz-kromozott-acel-39-cm-gumirozott-fogantyu-grt10-19078","https://www.somogyi.hu/product/home-grt10-huskiszedo-csipesz-kromozott-acel-39-cm-gumirozott-fogantyu-grt10-19078")</f>
        <v>0.0</v>
      </c>
      <c r="E89" s="7" t="n">
        <f>HYPERLINK("https://www.somogyi.hu/data/img/product_main_images/small/19078.jpg","https://www.somogyi.hu/data/img/product_main_images/small/19078.jpg")</f>
        <v>0.0</v>
      </c>
      <c r="F89" s="2" t="inlineStr">
        <is>
          <t>5999084970710</t>
        </is>
      </c>
      <c r="G89" s="4" t="inlineStr">
        <is>
          <t>Mivel lehet igazán egyszerű és higiénikus a húsok biztonságos mozgatása grillezés közben?
 A Home GRT10 húskiszedő csipesz olyan megbízható társ a kerti sütéseknél, amelyet a precíz kezelhetőség, a tartós kialakítás és a kényelmes használat jellemez. Ideális választás, ha fontos a biztonság, az erő és a stabilitás, akár kisebb darabok, akár nagyobb szeletek forgatásáról van szó.
Erős, stabil fogás minden mozdulatnál
A csipesz teljes hossza 39 cm, így elegendő távolságot biztosít a hőforrástól, megvédve a kezet a forróságtól. A 90×45 mm-es csipeszfej elegendően széles ahhoz, hogy biztosan tartson akár nagyobb hússzeleteket is. A krómozott acél kivitel nemcsak strapabíró, de könnyen tisztítható is, így minden használat után pillanatok alatt újból bevetésre kész.
Kényelmes és biztonságos használat
A gumírozott fogantyú csúszásmentes kialakítása kényelmes és biztos fogást nyújt, még zsíros kézzel is. Ennek köszönhetően a GRT10 húskiszedő csipesz ideális eszköz kezdő grillezők és tapasztalt BBQ-rajongók számára egyaránt. A 135 grammos súly optimális egyensúlyt biztosít: elég könnyű a hosszan tartó használathoz, mégis elég masszív a stabil fogáshoz.
Miért érdemes a Home GRT10 húskiszedő csipeszt választani?
- Krómozott acélból készült, rendkívül tartós kialakítás
- Hosszú nyél a biztonságos használatért
- Gumírozott fogantyú a kényelmes és stabil fogásért
- Ideális méretű fej a húsok könnyű mozgatásához
- Egyszerűen tisztítható és időtálló – praktikus minden grillszezonra
Ne bízza a véletlenre a kerti sütések sikerét! Válassza a Home GRT10 húskiszedő csipeszt, és élvezze a kényelmes, biztonságos grillezést minden alkalommal!</t>
        </is>
      </c>
    </row>
    <row r="90">
      <c r="A90" s="3" t="inlineStr">
        <is>
          <t>BC-ACC-7028</t>
        </is>
      </c>
      <c r="B90" s="2" t="inlineStr">
        <is>
          <t>Barbecook BC-ACC-7028 army stílusú fogó, 38cm-es, khaki zöld nyél</t>
        </is>
      </c>
      <c r="C90" s="1" t="n">
        <v>7390.0</v>
      </c>
      <c r="D90" s="7" t="n">
        <f>HYPERLINK("https://www.somogyi.hu/product/barbecook-bc-acc-7028-army-stilusu-fogo-38cm-es-khaki-zold-nyel-bc-acc-7028-18762","https://www.somogyi.hu/product/barbecook-bc-acc-7028-army-stilusu-fogo-38cm-es-khaki-zold-nyel-bc-acc-7028-18762")</f>
        <v>0.0</v>
      </c>
      <c r="E90" s="7" t="n">
        <f>HYPERLINK("https://www.somogyi.hu/data/img/product_main_images/small/18762.jpg","https://www.somogyi.hu/data/img/product_main_images/small/18762.jpg")</f>
        <v>0.0</v>
      </c>
      <c r="F90" s="2" t="inlineStr">
        <is>
          <t>5400269202941</t>
        </is>
      </c>
      <c r="G90" s="4" t="inlineStr">
        <is>
          <t>Szeretné a grillezés minden aspektusát magabiztosan kezelni, még a legforróbb pillanatokban is? A Barbecook BC-ACC-7028 army stílusú grillfogó az Ön legjobb társa lesz a grill mellett, amely nem csak praktikus, de stílusos is. 
Alkalmas hús, hal és zöldség könnyed forgatására, így garantálja, hogy az étel minden része tökéletesre süljön. A khaki zöld fogantyú nem csak egyedi megjelenést kölcsönöz a grillfogónak, hanem biztos fogást is garantál, ami nélkülözhetetlen a forró grillrácson való munkavégzés során. A könnyen tisztítható kialakítás biztosítja, hogy a grillfogó hosszú távon higiénikus és karbantartott maradhasson.
A termék méretei – 5x4x38cm – tökéletesek ahhoz, hogy bármilyen ételt biztonságosan és hatékonyan meg tudjon fogni és meg tudjon fordítani.
Vegye kezébe az irányítást, és fordítsa meg az ízek világát a Barbecook BC-ACC-7028 army stílusú grillfogóval.</t>
        </is>
      </c>
    </row>
    <row r="91">
      <c r="A91" s="3" t="inlineStr">
        <is>
          <t>GRT05</t>
        </is>
      </c>
      <c r="B91" s="2" t="inlineStr">
        <is>
          <t>Home GRT05 grill sütőlap, tapadásmentes teflon bevonat, 2 db/csomag, 400x300x0,2 mm</t>
        </is>
      </c>
      <c r="C91" s="1" t="n">
        <v>1490.0</v>
      </c>
      <c r="D91" s="7" t="n">
        <f>HYPERLINK("https://www.somogyi.hu/product/home-grt05-grill-sutolap-tapadasmentes-teflon-bevonat-2-db-csomag-400x300x0-2-mm-grt05-19079","https://www.somogyi.hu/product/home-grt05-grill-sutolap-tapadasmentes-teflon-bevonat-2-db-csomag-400x300x0-2-mm-grt05-19079")</f>
        <v>0.0</v>
      </c>
      <c r="E91" s="7" t="n">
        <f>HYPERLINK("https://www.somogyi.hu/data/img/product_main_images/small/19079.jpg","https://www.somogyi.hu/data/img/product_main_images/small/19079.jpg")</f>
        <v>0.0</v>
      </c>
      <c r="F91" s="2" t="inlineStr">
        <is>
          <t>5999084970727</t>
        </is>
      </c>
      <c r="G91" s="4" t="inlineStr">
        <is>
          <t>Hogyan lehet a grillezést és sütést egyszerre kényelmesebbé és tisztábbá tenni, anélkül hogy kompromisszumot kötne az ízélményben? 
A Home GRT05 grill sütőlap kiváló választás mindazoknak, akik szeretnének praktikus és higiénikus megoldást a grillezéshez és sütéshez. Tapadásmentes felülete lehetővé teszi, hogy az ételek könnyedén elváljanak a lapról, így kevesebb zsiradék szükséges, a tisztítás pedig pillanatok alatt elvégezhető.
Tapadásmentes teflonbevonat – tiszta és egyszerű sütés
A sütőlapok strapabíró üvegszálas alapra épülnek, amelyet teflon bevonat tesz tapadásmentessé és hőállóvá. Ezáltal ideálisak húsok, zöldségek, halak, sajtok vagy akár tésztafélék elkészítéséhez is – anélkül, hogy az étel odaragadna vagy a grillrács közé csorogna. A lap mind grillen, mind sütőben használható, így maximális rugalmasságot kínál a konyhai és kerti sütögetésekhez egyaránt.
Ideális méret és több darabos kiszerelés
A 400x300 mm méretű, mindössze 0,2 mm vastag lapok elég nagyok ahhoz, hogy bőséges mennyiségű ételt készítsen rajtuk, ugyanakkor elég vékonyak ahhoz, hogy könnyen kezelhetők és tárolhatók legyenek. A csomagban 2 darab sütőlap található, így egyszerre több fogás is elkészíthető, vagy akár különválaszthatók az ízek (például húsmentes és húsos ételek).
Higiénikus és gazdaságos megoldás
A Home GRT05 sütőlap nemcsak környezetbarát, hanem hosszú távon költséghatékony megoldást is kínál. A tapadásmentes bevonat révén csökkenthető az olajhasználat, így egészségesebb ételek készíthetők. A könnyű tisztíthatóság pedig azt jelenti, hogy nem szükséges időt és energiát áldozni a grillrács vagy a sütő belsejének súrolására.
Miért érdemes a Home GRT05 grill sütőlapot választani?
- Tapadásmentes teflon bevonat – az ételek nem égnek oda
- Üvegszálas alap – nagy hőállóság és hosszú élettartam
- Használható sütőben és grillen egyaránt
- Könnyen tisztítható, újrahasználható
- 2 db lap egy csomagban – több fogás egyszerre
Tegye kényelmesebbé és higiénikusabbá a sütési folyamatot! Válassza a Home GRT05 sütőlapot, és élvezze az ízletes ételeket tisztább, egyszerűbb módon – minden egyes alkalommal!</t>
        </is>
      </c>
    </row>
    <row r="92">
      <c r="A92" s="3" t="inlineStr">
        <is>
          <t>GRT02</t>
        </is>
      </c>
      <c r="B92" s="2" t="inlineStr">
        <is>
          <t>Home GRT02 tapadásmentes sütőkosár, nyéllel, szögletes kialakítás, tapadásmentes bevonat, 305x305x50 mm</t>
        </is>
      </c>
      <c r="C92" s="1" t="n">
        <v>4590.0</v>
      </c>
      <c r="D92" s="7" t="n">
        <f>HYPERLINK("https://www.somogyi.hu/product/home-grt02-tapadasmentes-sutokosar-nyellel-szogletes-kialakitas-tapadasmentes-bevonat-305x305x50-mm-grt02-19072","https://www.somogyi.hu/product/home-grt02-tapadasmentes-sutokosar-nyellel-szogletes-kialakitas-tapadasmentes-bevonat-305x305x50-mm-grt02-19072")</f>
        <v>0.0</v>
      </c>
      <c r="E92" s="7" t="n">
        <f>HYPERLINK("https://www.somogyi.hu/data/img/product_main_images/small/19072.jpg","https://www.somogyi.hu/data/img/product_main_images/small/19072.jpg")</f>
        <v>0.0</v>
      </c>
      <c r="F92" s="2" t="inlineStr">
        <is>
          <t>5999084970659</t>
        </is>
      </c>
      <c r="G92" s="4" t="inlineStr">
        <is>
          <t>Hogyan készíthet ízletes, ropogós grillételeket anélkül, hogy az alapanyagok odatapadnának a rácshoz? 
A Home GRT02 tapadásmentes sütőkosár kiváló választás minden grillezni szerető számára, hiszen a praktikus szögletes forma és a speciális tapadásmentes bevonat együtt biztosítják a kényelmes, tiszta és hatékony sütést. Akár húsokat, zöldségeket vagy halat szeretne grillezni, ez a kosár lehetővé teszi, hogy az alapanyagok egyenletesen átsüljenek anélkül, hogy odaragadnának vagy szétmorzsolódnának.
Strapabíró kialakítás és praktikus méret
A 305 x 305 x 50 mm-es méretű sütőkosár bőséges helyet kínál nagyobb adag étel elkészítésére is, így akár egy családi grillezésre vagy baráti összejövetelre is ideális. A szögletes kialakítás nemcsak elegáns megjelenést biztosít, hanem könnyebben illeszkedik a grillsütők többségébe is, hatékonyabban kihasználva a rendelkezésre álló sütőfelületet.
Tapadásmentes bevonat a könnyű használatért
A rozsdamentes acél szerkezetet tapadásmentes réteg borítja, amely megakadályozza az étel letapadását és jelentősen megkönnyíti a tisztítást. A grillezés után elegendő egy gyors öblítés vagy áttörlés, és a kosár ismét használatra kész. A bevonat emellett megőrzi az alapanyagok eredeti textúráját és ízvilágát is.
Kényelmes, biztonságos fogás
A fa nyél nemcsak esztétikus megjelenést biztosít, hanem hőszigetelő funkciója révén kényelmes és biztonságos fogást is garantál. Így a forró grillrács fölött is nyugodtan mozgatható, forgatható a kosár anélkül, hogy megégetné a kezét.
Miért érdemes a Home GRT02 sütőkosarat választani?
- Tapadásmentes bevonat a tiszta grillezéshez
- Tágas, szögletes kialakítás a hatékony helykihasználásért
- Időtálló, rozsdamentes acél alapanyag
- Kényelmes fa nyél a biztonságos használatért
- Egyszerű tisztítás, hosszú élettartam
Tegye még élvezetesebbé a grillezést! Válassza a Home GRT02 tapadásmentes sütőkosarat, és élvezze a tiszta, gyors és ízletes ételkészítést bármilyen szabadtéri alkalomra!</t>
        </is>
      </c>
    </row>
    <row r="93">
      <c r="A93" s="3" t="inlineStr">
        <is>
          <t>BC-ACC-7070</t>
        </is>
      </c>
      <c r="B93" s="2" t="inlineStr">
        <is>
          <t>Barbecook BC-ACC-7070 luxus rozsdamentes acél fogó, gumifa nyél, 100% FSC, 40cm</t>
        </is>
      </c>
      <c r="C93" s="1" t="n">
        <v>4190.0</v>
      </c>
      <c r="D93" s="7" t="n">
        <f>HYPERLINK("https://www.somogyi.hu/product/barbecook-bc-acc-7070-luxus-rozsdamentes-acel-fogo-gumifa-nyel-100-fsc-40cm-bc-acc-7070-18756","https://www.somogyi.hu/product/barbecook-bc-acc-7070-luxus-rozsdamentes-acel-fogo-gumifa-nyel-100-fsc-40cm-bc-acc-7070-18756")</f>
        <v>0.0</v>
      </c>
      <c r="E93" s="7" t="n">
        <f>HYPERLINK("https://www.somogyi.hu/data/img/product_main_images/small/18756.jpg","https://www.somogyi.hu/data/img/product_main_images/small/18756.jpg")</f>
        <v>0.0</v>
      </c>
      <c r="F93" s="2" t="inlineStr">
        <is>
          <t>5400269240592</t>
        </is>
      </c>
      <c r="G93" s="4" t="inlineStr">
        <is>
          <t>Szeretné a grillezés minden pillanatát a luxus érzetével megfűszerezni? A Barbecook BC-ACC-7070 luxus rozsdamentes acél fogóval mindez könnyedén elérhetővé válik. Tökéletes választás azok számára, akik nemcsak funkcionalitásra, hanem eleganciára és kényelemre is vágynak grillezés közben.
Ez a magas minőségű fogó, mely rozsdamentes acélból készült, garantálja a tartósságot és az egyszerű tisztíthatóságot, míg az FSC® címkével ellátott gumifa nyél fenntarthatóságot és megragadhatatlan kényelmet kínál használat közben. Az ergonómikus tervezés biztosítja, hogy az ételek forgatása és megfogása könnyű és precíz legyen, növelve ezzel a grillezési élményt.
A Barbecook BC-ACC-7070 luxus rozsdamentes acél fogó nemcsak praktikus, de stílusos kiegészítője is lehet grill készletének, megkönnyítve a grillezés minden lépését. A gumifa nyél nemcsak hogy kényelmes fogást biztosít, de hozzáad a fogó esztétikai megjelenéséhez is, így elegáns megjelenést kölcsönöz grilleszközei között.
Adjon hozzá egy csipetnyi luxust grillezési szokásához a Barbecook BC-ACC-7070 luxus rozsdamentes acél fogóval.</t>
        </is>
      </c>
    </row>
    <row r="94">
      <c r="A94" s="3" t="inlineStr">
        <is>
          <t>BC-ACC-7025</t>
        </is>
      </c>
      <c r="B94" s="2" t="inlineStr">
        <is>
          <t>Barbecook BC-ACC-7025 army stílusú grill villa, 38cm-es, khaki zöld nyél</t>
        </is>
      </c>
      <c r="C94" s="1" t="n">
        <v>5590.0</v>
      </c>
      <c r="D94" s="7" t="n">
        <f>HYPERLINK("https://www.somogyi.hu/product/barbecook-bc-acc-7025-army-stilusu-grill-villa-38cm-es-khaki-zold-nyel-bc-acc-7025-18760","https://www.somogyi.hu/product/barbecook-bc-acc-7025-army-stilusu-grill-villa-38cm-es-khaki-zold-nyel-bc-acc-7025-18760")</f>
        <v>0.0</v>
      </c>
      <c r="E94" s="7" t="n">
        <f>HYPERLINK("https://www.somogyi.hu/data/img/product_main_images/small/18760.jpg","https://www.somogyi.hu/data/img/product_main_images/small/18760.jpg")</f>
        <v>0.0</v>
      </c>
      <c r="F94" s="2" t="inlineStr">
        <is>
          <t>5400269202934</t>
        </is>
      </c>
      <c r="G94" s="4" t="inlineStr">
        <is>
          <t>Keres egy villát a grillezéshez, amely nem csak praktikus, de stílusos is? A Barbecook BC-ACC-7025 army stílusú grill villa tökéletes választás azok számára, akik szeretnének egy különleges eszközt hozzáadni a grillkészletükhöz. 
Ez a villa nem csak hús, hanem hal és zöldség forgatására is alkalmas, így minden grillezési igényt kielégít. A khaki zöld nyél katonai stílusban készült, ami egyedi megjelenést kölcsönöz az eszköznek, miközben a könnyen tisztítható anyag gondoskodik arról, hogy a villa hosszú távon megőrizze tisztaságát és minőségét. A termék méretei - 3,5x38cm - ideálisak ahhoz, hogy kényelmesen használhassa grillezés közben, anélkül, hogy túl nagy vagy nehézkes lenne.
Válassza a Barbecook BC-ACC-7025 army stílusú villát, és dobja fel a grillezést egy katonai ihletésű, minden feladatra alkalmas eszközzel.</t>
        </is>
      </c>
    </row>
    <row r="95">
      <c r="A95" s="3" t="inlineStr">
        <is>
          <t>BC-ACC-7123</t>
        </is>
      </c>
      <c r="B95" s="2" t="inlineStr">
        <is>
          <t>Barbecook BC-ACC-7123 2db-os rozsdamentes acél rostlap forgató, fa nyél, 100% FSC, 31cm</t>
        </is>
      </c>
      <c r="C95" s="1" t="n">
        <v>6690.0</v>
      </c>
      <c r="D95" s="7" t="n">
        <f>HYPERLINK("https://www.somogyi.hu/product/barbecook-bc-acc-7123-2db-os-rozsdamentes-acel-rostlap-forgato-fa-nyel-100-fsc-31cm-bc-acc-7123-18759","https://www.somogyi.hu/product/barbecook-bc-acc-7123-2db-os-rozsdamentes-acel-rostlap-forgato-fa-nyel-100-fsc-31cm-bc-acc-7123-18759")</f>
        <v>0.0</v>
      </c>
      <c r="E95" s="7" t="n">
        <f>HYPERLINK("https://www.somogyi.hu/data/img/product_main_images/small/18759.jpg","https://www.somogyi.hu/data/img/product_main_images/small/18759.jpg")</f>
        <v>0.0</v>
      </c>
      <c r="F95" s="2" t="inlineStr">
        <is>
          <t>5400269203016</t>
        </is>
      </c>
      <c r="G95" s="4" t="inlineStr">
        <is>
          <t>Szeretné a grillezés minden pillanatát könnyedén és hatékonyan élvezni? A Barbecook BC-ACC-7123 2db-os rozsdamentes acél rostlap forgató készlet lehet a tökéletes segítség az Ön számára. 
Ez a két darabos spatula készlet kiválóan alkalmas különféle ételek forgatására, legyen szó húsról, zöldségekről vagy akár a grillen sült finomságokról.
Az FSC® címkével ellátott termék fa nyéllel büszkélkedik, amely nem csak stílusos megjelenést kölcsönöz, de a fogása is kényelmes és biztos. A kényelmes tárolást akasztóhurok segíti, így a spatulák mindig kéznél lesznek, amikor szükség van rájuk. A csomagban található két spatula méretei - 31x12cm- ideálisak a különböző méretű és vastagságú ételek kezeléséhez.
Fedezze fel a Barbecook rozsdamentes acél rostlap forgatók előnyeit, és tegye grillezési élményét egyszerűbbé és élvezetesebbé!</t>
        </is>
      </c>
    </row>
    <row r="96">
      <c r="A96" s="3" t="inlineStr">
        <is>
          <t>10-238-003</t>
        </is>
      </c>
      <c r="B96" s="2" t="inlineStr">
        <is>
          <t>Nava 10-238-003 BBQ Guru rozsdamentes acél grillező szett, fa nyél, 3db-os</t>
        </is>
      </c>
      <c r="C96" s="1" t="n">
        <v>4190.0</v>
      </c>
      <c r="D96" s="7" t="n">
        <f>HYPERLINK("https://www.somogyi.hu/product/nava-10-238-003-bbq-guru-rozsdamentes-acel-grillezo-szett-fa-nyel-3db-os-10-238-003-18230","https://www.somogyi.hu/product/nava-10-238-003-bbq-guru-rozsdamentes-acel-grillezo-szett-fa-nyel-3db-os-10-238-003-18230")</f>
        <v>0.0</v>
      </c>
      <c r="E96" s="7" t="n">
        <f>HYPERLINK("https://www.somogyi.hu/data/img/product_main_images/small/18230.jpg","https://www.somogyi.hu/data/img/product_main_images/small/18230.jpg")</f>
        <v>0.0</v>
      </c>
      <c r="F96" s="2" t="inlineStr">
        <is>
          <t>5205746153361</t>
        </is>
      </c>
      <c r="G96" s="4" t="inlineStr">
        <is>
          <t>Készen áll arra, hogy emelje a grillezés élményét a következő szintre? A Nava 10-238-003 BBQ Guru rozsdamentes acél grillező szett három alapvető grilleszközt tartalmaz, amelyek valódi segítséget nyújtanak a grill mellett. 
Ez a készlet, amely rozsdamentes acélból készült, rendkívüli tartósságot biztosít hosszú távú használatra. Az ergonomikus, csúszásmentes fa fogantyúk kényelmes és biztonságos kezelést tesznek lehetővé. Tartsa kezeit biztonságos távolságra a tűztől a hosszú, rozsdamentes acél eszközökkel, melyek 39-41 cm-es hosszal és fa fogantyúkkal rendelkeznek a kényelmes grillezéshez. A szett minden tagja mosogatógépben tisztítható, és az európai élelmiszer-érintkezési szabályozásoknak megfelelően gyártva.
A szett tartalma:
* Csipesz (mérete: 2,5 cmx4 cmx39 cm, súlya: 0,22kg)
* Forgatólapát (mérete: 2 cmx6 cmx41 cm, súlya: 0,16kg)
* Villa (mérete: 1,8 cmx2,5 cmx40 cm, súlya: 0,12kg)
Néhány tipp, hogy sokáig és biztonságosan használhassa a terméket:
* Az első használat előtt mossa el az eszközöket langyos vízben, mosogatószerrel és egy puha szivaccsal.
* Minden használat után alaposan mossa el és szárítsa meg egy száraz ruhával.
* Kerülje a fémszivacsok, drót vagy erős tisztítószerek használatát.
* Rozsdamentes acél termékekhez ajánlott tisztítószerek használata javasolt.
* A termék élettartamának meghosszabbítása érdekében részesítse előnyben a kézi mosást.
* Használatkor mindig a fa fogantyúnál fogja az eszközöket. Csak a fogantyújánál fogva vigye és kezelje.
* Soha ne hagyja őket a tűzön. Ha nem használja őket, helyezze a pultra vagy a grill különleges akasztójára.
* Mindig tartsa távol a gyermekektől.
A Nava BBQ Guru rozsdamentes acél grillező szett minden, amire egy szenvedélyes grillmesternek szüksége van.</t>
        </is>
      </c>
    </row>
    <row r="97">
      <c r="A97" s="6" t="inlineStr">
        <is>
          <t xml:space="preserve">      Grillezés / Grill kiegészítő / Vágódeszkák és asztalok</t>
        </is>
      </c>
      <c r="B97" s="6" t="inlineStr">
        <is>
          <t/>
        </is>
      </c>
      <c r="C97" s="6" t="inlineStr">
        <is>
          <t/>
        </is>
      </c>
      <c r="D97" s="6" t="inlineStr">
        <is>
          <t/>
        </is>
      </c>
      <c r="E97" s="6" t="inlineStr">
        <is>
          <t/>
        </is>
      </c>
      <c r="F97" s="6" t="inlineStr">
        <is>
          <t/>
        </is>
      </c>
      <c r="G97" s="6" t="inlineStr">
        <is>
          <t/>
        </is>
      </c>
    </row>
    <row r="98">
      <c r="A98" s="3" t="inlineStr">
        <is>
          <t>BC-ACC-7154</t>
        </is>
      </c>
      <c r="B98" s="2" t="inlineStr">
        <is>
          <t>Barbecook BC-ACC-7154 grill vágóasztal, bambuszból készült, 70x43x81cm</t>
        </is>
      </c>
      <c r="C98" s="1" t="n">
        <v>38690.0</v>
      </c>
      <c r="D98" s="7" t="n">
        <f>HYPERLINK("https://www.somogyi.hu/product/barbecook-bc-acc-7154-grill-vagoasztal-bambuszbol-keszult-70x43x81cm-bc-acc-7154-18768","https://www.somogyi.hu/product/barbecook-bc-acc-7154-grill-vagoasztal-bambuszbol-keszult-70x43x81cm-bc-acc-7154-18768")</f>
        <v>0.0</v>
      </c>
      <c r="E98" s="7" t="n">
        <f>HYPERLINK("https://www.somogyi.hu/data/img/product_main_images/small/18768.jpg","https://www.somogyi.hu/data/img/product_main_images/small/18768.jpg")</f>
        <v>0.0</v>
      </c>
      <c r="F98" s="2" t="inlineStr">
        <is>
          <t>5400269207267</t>
        </is>
      </c>
      <c r="G98" s="4" t="inlineStr">
        <is>
          <t>Szeretne egy kényelmes munkaterületet a grill mellett? A Barbecook BC-ACC-7154 grill vágóasztal tökéletes választás az előkészületekhez és a grill mellé. 
Ez a praktikus bambuszból készült, összecsukható asztal ideális társ a sütés-főzés során, ahol könnyedén előkészítheti az alapanyagokat vagy elhelyezheti a grillezéshez szükséges kiegészítőket.
Az asztal egyszerűen tárolható, hiszen összecsukva alig foglal helyet, így nem lesz gondja vele, ha éppen nem használja. A tisztítása is gyerekjáték, így mindig higiénikus és tiszta munkafelületet biztosíthat. Méretei (70x43x81cm) elegendő helyet kínálnak a szükséges munkafolyamatokhoz, legyen szó akár húsról, zöldségekről vagy éppen a sütéshez szükséges eszközökről.
Élvezze a grillezés minden pillanatát a Barbecook BC-ACC-7154 grill vágóasztallal, amely garantáltan megkönnyíti a kerti sütögetések minden mozzanatát!</t>
        </is>
      </c>
    </row>
    <row r="99">
      <c r="A99" s="6" t="inlineStr">
        <is>
          <t xml:space="preserve">      Grillezés / Grill kiegészítő / Nyársak és nyárssütők</t>
        </is>
      </c>
      <c r="B99" s="6" t="inlineStr">
        <is>
          <t/>
        </is>
      </c>
      <c r="C99" s="6" t="inlineStr">
        <is>
          <t/>
        </is>
      </c>
      <c r="D99" s="6" t="inlineStr">
        <is>
          <t/>
        </is>
      </c>
      <c r="E99" s="6" t="inlineStr">
        <is>
          <t/>
        </is>
      </c>
      <c r="F99" s="6" t="inlineStr">
        <is>
          <t/>
        </is>
      </c>
      <c r="G99" s="6" t="inlineStr">
        <is>
          <t/>
        </is>
      </c>
    </row>
    <row r="100">
      <c r="A100" s="3" t="inlineStr">
        <is>
          <t>GRT08</t>
        </is>
      </c>
      <c r="B100" s="2" t="inlineStr">
        <is>
          <t>Home GRT08 BBQ 2db-os nyárskészlet, 250 mm nyárstű, teljes méret: 325x30 mm</t>
        </is>
      </c>
      <c r="C100" s="1" t="n">
        <v>1690.0</v>
      </c>
      <c r="D100" s="7" t="n">
        <f>HYPERLINK("https://www.somogyi.hu/product/home-grt08-bbq-2db-os-nyarskeszlet-250-mm-nyarstu-teljes-meret-325x30-mm-grt08-19076","https://www.somogyi.hu/product/home-grt08-bbq-2db-os-nyarskeszlet-250-mm-nyarstu-teljes-meret-325x30-mm-grt08-19076")</f>
        <v>0.0</v>
      </c>
      <c r="E100" s="7" t="n">
        <f>HYPERLINK("https://www.somogyi.hu/data/img/product_main_images/small/19076.jpg","https://www.somogyi.hu/data/img/product_main_images/small/19076.jpg")</f>
        <v>0.0</v>
      </c>
      <c r="F100" s="2" t="inlineStr">
        <is>
          <t>5999084970697</t>
        </is>
      </c>
      <c r="G100" s="4" t="inlineStr">
        <is>
          <t>Hogyan készíthet ízletes saslikot, zöldségnyársat vagy grillezett finomságokat gyorsan és egyszerűen? 
A Home GRT08 BBQ 2 darabos nyárskészlet megbízható társ minden kerti sütéshez – legyen szó családi vacsoráról, baráti grillpartiról vagy egy egyszerű hétvégi ebédről. A praktikus kialakítású rozsdamentes acél nyárstűk nemcsak strapabírók, de a grillezés minden pillanatát kényelmesebbé és higiénikusabbá teszik.
Időtálló anyag, okos megoldások
A szett kiváló minőségű rozsdamentes acélból készült, amely hosszú élettartamot, kiváló hőállóságot és könnyű tisztíthatóságot biztosít. A nyárstűk hossza 250 mm, amely ideális a húsok, zöldségek és sajtok egyenletes átsütéséhez, míg a teljes méret 325x30 mm – így könnyen kezelhető még forró grillrácson is. A tűk kialakítása lehetővé teszi az alapanyagok stabil rögzítését, így sütés közben nem csúsznak le, nem forognak el, ami különösen fontos a tökéletesre sült falatokhoz.
Kényelmes használat, minimális tisztítás
A simára csiszolt felület és a rozsdamentes anyag garantálja, hogy a tűk nem szívják magukba a zsiradékot vagy fűszereket, így nemcsak higiénikusak, hanem rendkívül könnyen elmoshatók – akár kézzel, akár mosogatógépben. A csomag 2 db nyárstűt tartalmaz, így akár két különböző fogás is készíthető egyszerre, vagy megosztható a grillezés élménye több személy között.
Miért válassza a Home GRT08 BBQ nyárskészletet?
- Kiváló minőségű rozsdamentes acélból készült, időtálló megoldás
- Ideális méret a praktikus és biztonságos használathoz
- Stabil és könnyen forgatható kialakítás, nem csúszik le az étel
- Könnyen tisztítható, akár mosogatógépben is
- 2 darabos készlet, tökéletes páros grillezésekhez
Fűszerezze meg a grillezést minőséggel és kényelemmel – válassza a Home GRT08 BBQ nyárskészletet, és készítsen tökéletes nyársakat minden alkalommal!</t>
        </is>
      </c>
    </row>
    <row r="101">
      <c r="A101" s="3" t="inlineStr">
        <is>
          <t>BC-ACC-7068</t>
        </is>
      </c>
      <c r="B101" s="2" t="inlineStr">
        <is>
          <t>Barbecook BC-ACC-7068 4db-os nyárskészlet, fa nyél, 43cm, 100% FSC</t>
        </is>
      </c>
      <c r="C101" s="1" t="n">
        <v>2990.0</v>
      </c>
      <c r="D101" s="7" t="n">
        <f>HYPERLINK("https://www.somogyi.hu/product/barbecook-bc-acc-7068-4db-os-nyarskeszlet-fa-nyel-43cm-100-fsc-bc-acc-7068-18721","https://www.somogyi.hu/product/barbecook-bc-acc-7068-4db-os-nyarskeszlet-fa-nyel-43cm-100-fsc-bc-acc-7068-18721")</f>
        <v>0.0</v>
      </c>
      <c r="E101" s="7" t="n">
        <f>HYPERLINK("https://www.somogyi.hu/data/img/product_main_images/small/18721.jpg","https://www.somogyi.hu/data/img/product_main_images/small/18721.jpg")</f>
        <v>0.0</v>
      </c>
      <c r="F101" s="2" t="inlineStr">
        <is>
          <t>5400269240707</t>
        </is>
      </c>
      <c r="G101" s="4" t="inlineStr">
        <is>
          <t>Egy tartós és környezetbarát megoldást keres a tökéletes grill nyársakhoz? A Barbecook BC-ACC-7068 4db-os nyárskészlet minden grillezési igényét kielégíti, újrahasználható nyársakkal, amelyekkel a legfinomabb grill ételeket készítheti el.
Ez a prémium nyárskészlet nemcsak hogy újrafelhasználható, így csökkenti a környezetre gyakorolt hatását, de FSC® címkével is ellátott, ami garantálja, hogy a nyírfa nyél fenntartható forrásból származik. A krómozott szár tovább növeli az eszközök tartósságát és könnyen tisztíthatóvá teszi őket, így a készlet hosszú távon is Önnek és a környezetnek is a legjobb választás.
A nyárskészlet méretei – 1,5x1,5x43cm – tökéletesek a különböző húsfajták, zöldségek vagy akár gyümölcsök grillezésére, lehetővé téve a változatos és ízletes ételek elkészítését.
Felejtse el az egyszer használatos grill eszközöket a Barbecook BC-ACC-7068 4db-os nyárskészlettel, és készítsen fenntartható módon grill ételeket.</t>
        </is>
      </c>
    </row>
    <row r="102">
      <c r="A102" s="3" t="inlineStr">
        <is>
          <t>BC-ACC-7073</t>
        </is>
      </c>
      <c r="B102" s="2" t="inlineStr">
        <is>
          <t>Barbecook BC-ACC-7073 10db-os rozsdamentes acélnyárs készlet, 33cm</t>
        </is>
      </c>
      <c r="C102" s="1" t="n">
        <v>4990.0</v>
      </c>
      <c r="D102" s="7" t="n">
        <f>HYPERLINK("https://www.somogyi.hu/product/barbecook-bc-acc-7073-10db-os-rozsdamentes-acelnyars-keszlet-33cm-bc-acc-7073-18737","https://www.somogyi.hu/product/barbecook-bc-acc-7073-10db-os-rozsdamentes-acelnyars-keszlet-33cm-bc-acc-7073-18737")</f>
        <v>0.0</v>
      </c>
      <c r="E102" s="7" t="n">
        <f>HYPERLINK("https://www.somogyi.hu/data/img/product_main_images/small/18737.jpg","https://www.somogyi.hu/data/img/product_main_images/small/18737.jpg")</f>
        <v>0.0</v>
      </c>
      <c r="F102" s="2" t="inlineStr">
        <is>
          <t>5400269201166</t>
        </is>
      </c>
      <c r="G102" s="4" t="inlineStr">
        <is>
          <t>Keresi a tökéletes eszközt a grillpartikhoz, ahol a nyársakon sült finomságok a főszereplők? A Barbecook BC-ACC-7073 10db-os rozsdamentes acélnyárs készlettel most minden eddiginél egyszerűbben és biztonságosabban készítheti el kedvenc grill ételeit.
Ez a kiváló minőségű, újrafelhasználható nyárskészlet tartalmaz 10 darab 33cm hosszú rozsdamentes acélnyársat, amelyek ideálisak húsok, zöldségek vagy akár gyümölcsök grillre tűzéséhez. A lekerekített végpontoknak köszönhetően a hozzávalók biztonságosan a helyükön maradnak sütés közben.
A rozsdamentes acél nemcsak tartósságot és hosszú élettartamot garantál, hanem könnyen tisztíthatóvá is teszi a nyársakat, így a készletet újra és újra használhatja a következő grillpartik alkalmával. A 33cm hosszúság tökéletes egyensúlyt biztosít a kezelhetőség és az elegendő férőhely között az ételek számára.
Élvezze a grillezés minden örömét a Barbecook BC-ACC-7073 10db-os rozsdamentes acélnyárs készlettel, amely praktikus, tartós és elegáns megoldást kínál minden grillezési alkalomra.</t>
        </is>
      </c>
    </row>
    <row r="103">
      <c r="A103" s="3" t="inlineStr">
        <is>
          <t>BC-ACC-7471</t>
        </is>
      </c>
      <c r="B103" s="2" t="inlineStr">
        <is>
          <t>Barbecook BC-ACC-7471 3db-os nyárskészlet, FSC, 65cm, XL méret,</t>
        </is>
      </c>
      <c r="C103" s="1" t="n">
        <v>6290.0</v>
      </c>
      <c r="D103" s="7" t="n">
        <f>HYPERLINK("https://www.somogyi.hu/product/barbecook-bc-acc-7471-3db-os-nyarskeszlet-fsc-65cm-xl-meret-bc-acc-7471-18722","https://www.somogyi.hu/product/barbecook-bc-acc-7471-3db-os-nyarskeszlet-fsc-65cm-xl-meret-bc-acc-7471-18722")</f>
        <v>0.0</v>
      </c>
      <c r="E103" s="7" t="n">
        <f>HYPERLINK("https://www.somogyi.hu/data/img/product_main_images/small/18722.jpg","https://www.somogyi.hu/data/img/product_main_images/small/18722.jpg")</f>
        <v>0.0</v>
      </c>
      <c r="F103" s="2" t="inlineStr">
        <is>
          <t>5404035706756</t>
        </is>
      </c>
      <c r="G103" s="4" t="inlineStr">
        <is>
          <t>Kész az új grill élményekre, ami messze túlmutat a hagyományos barbecue-n? Fedezze fel a Barbecook BC-ACC-7471 három darabos nyárskészletét, ami új dimenziót ad a grillezésnek! 
A készletben található három újrafelhasználható nyárs 65 cm hosszú, ami elegendő teret biztosít a húsok, zöldségek vagy akár gyümölcsök számára is, így egyszerre több fogást is kényelmesen elkészíthet. A FSC®-minősítés biztosítja, hogy a nyársak készítése során figyelembe vették a fenntartható erdőgazdálkodás elveit, így nem csak a környezettudatos választás, hanem az ínyencek választása is.
Tegye a következő grillezést felejthetetlen élménnyé a Barbecook BC-ACC-7471 nyárskészletével! Legyen szó családi összejövetelekről vagy baráti grillezésekről, ezek a nyársak garantálják, hogy az ételek nemcsak ízletesek, hanem látványosak is legyenek. Ne várjon tovább, bővítse grillezési eszközeinek tárházát ezzel a praktikus és stílusos készlettel!</t>
        </is>
      </c>
    </row>
    <row r="104">
      <c r="A104" s="3" t="inlineStr">
        <is>
          <t>BC-ACC-7017</t>
        </is>
      </c>
      <c r="B104" s="2" t="inlineStr">
        <is>
          <t>Barbecook BC-ACC-7017 sütőnyárs tartó, rozsdamentes acél, 5 férőhelyes</t>
        </is>
      </c>
      <c r="C104" s="1" t="n">
        <v>11490.0</v>
      </c>
      <c r="D104" s="7" t="n">
        <f>HYPERLINK("https://www.somogyi.hu/product/barbecook-bc-acc-7017-sutonyars-tarto-rozsdamentes-acel-5-ferohelyes-bc-acc-7017-18724","https://www.somogyi.hu/product/barbecook-bc-acc-7017-sutonyars-tarto-rozsdamentes-acel-5-ferohelyes-bc-acc-7017-18724")</f>
        <v>0.0</v>
      </c>
      <c r="E104" s="7" t="n">
        <f>HYPERLINK("https://www.somogyi.hu/data/img/product_main_images/small/18724.jpg","https://www.somogyi.hu/data/img/product_main_images/small/18724.jpg")</f>
        <v>0.0</v>
      </c>
      <c r="F104" s="2" t="inlineStr">
        <is>
          <t>5400269238728</t>
        </is>
      </c>
      <c r="G104" s="4" t="inlineStr">
        <is>
          <t>Szereti a nyárson grillezett ételeket? Készítsen változatos ízbombákat otthon, saját kezűleg, egyszerűen és hatékonyan! 
De hogyan készítheti el őket a lehető legkönnyebben? Egy Barbecook nyárstartóval természetesen! A Barbecook BC-ACC-7013 nyárstartó segítségével egyszerre több nyársat is rögzíthet (5db nyárs tartozék), így könnyedén ellenőrizheti őket a grillezés során. Ezzel az eszközzel készítheti el a valaha volt legfinomabb nyársakat!
A nyárstartó méretei - 26,5x4,5x35,5cm - tökéletes méretet biztosítanak a különböző hosszúságú és vastagságú nyársak rögzítéséhez. Ennek az eszköznek a használatával nem csak időt takarít meg, hanem biztosíthatja, hogy minden egyes nyárs egyenletesen sült meg, így garantálva az ízletes és szaftos eredményt minden alkalommal. Faszenes és gázgrillen is használható. 
Indítsa a grillszezont a Barbecook BC-ACC-7013 nyárstartóval, és készítsen el ellenállhatatlan nyársakat, amelyek minden vendégét lenyűgözik! Tegyen szert erre a praktikus grill kiegészítőre, és váljon a barbecue-partik mesterszakácsává!</t>
        </is>
      </c>
    </row>
    <row r="105">
      <c r="A105" s="3" t="inlineStr">
        <is>
          <t>BC-ACC-7076</t>
        </is>
      </c>
      <c r="B105" s="2" t="inlineStr">
        <is>
          <t>Barbecook BC-ACC-7076 100db-os bambusz nyárskészlet, 30cm</t>
        </is>
      </c>
      <c r="C105" s="1" t="n">
        <v>1750.0</v>
      </c>
      <c r="D105" s="7" t="n">
        <f>HYPERLINK("https://www.somogyi.hu/product/barbecook-bc-acc-7076-100db-os-bambusz-nyarskeszlet-30cm-bc-acc-7076-18766","https://www.somogyi.hu/product/barbecook-bc-acc-7076-100db-os-bambusz-nyarskeszlet-30cm-bc-acc-7076-18766")</f>
        <v>0.0</v>
      </c>
      <c r="E105" s="7" t="n">
        <f>HYPERLINK("https://www.somogyi.hu/data/img/product_main_images/small/18766.jpg","https://www.somogyi.hu/data/img/product_main_images/small/18766.jpg")</f>
        <v>0.0</v>
      </c>
      <c r="F105" s="2" t="inlineStr">
        <is>
          <t>5400269217839</t>
        </is>
      </c>
      <c r="G105" s="4" t="inlineStr">
        <is>
          <t>Egy egyszerű, mégis zseniális megoldást keres a következő grillpartira? A Barbecook BC-ACC-7076 100db-os bambusz nyárskészlettel minden előkészület nélkül, kéznél van a tökéletes eszköz a finomságok sütéséhez!
Ez a készlet 100 darab 30cm hosszú bambusz nyársat tartalmaz, amely ideális választás húsok, zöldségek, gyümölcsök vagy akár édességek grillezéséhez. A bambusz természetes anyaga nem csak környezetbarát, hanem garantálja a nyársak stabilitását és tartósságát is, így biztosíthatja, hogy az ételek biztonságban maradjanak sütés közben.
A nyársak előnye, hogy egyszerűen használhatók és eldobhatók, így nem kell törődnie a tisztítással a grillparti után. Emellett a 30cm hosszúság tökéletes egyensúlyt biztosít a könnyű kezelhetőség és elegendő hely között az ételek számára, hogy mindenki kedvére variálhassa az ízeket.
Varázsoljon elő ínycsiklandozó grillételeket a Barbecook BC-ACC-7076 100db-os bambusz nyárskészlettel, és tegye a grillezést egyszerűvé és élvezetessé mindenki számára!</t>
        </is>
      </c>
    </row>
    <row r="106">
      <c r="A106" s="6" t="inlineStr">
        <is>
          <t xml:space="preserve">      Grillezés / Grill kiegészítő / Pizzasütés</t>
        </is>
      </c>
      <c r="B106" s="6" t="inlineStr">
        <is>
          <t/>
        </is>
      </c>
      <c r="C106" s="6" t="inlineStr">
        <is>
          <t/>
        </is>
      </c>
      <c r="D106" s="6" t="inlineStr">
        <is>
          <t/>
        </is>
      </c>
      <c r="E106" s="6" t="inlineStr">
        <is>
          <t/>
        </is>
      </c>
      <c r="F106" s="6" t="inlineStr">
        <is>
          <t/>
        </is>
      </c>
      <c r="G106" s="6" t="inlineStr">
        <is>
          <t/>
        </is>
      </c>
    </row>
    <row r="107">
      <c r="A107" s="3" t="inlineStr">
        <is>
          <t>BC-ACC-7225</t>
        </is>
      </c>
      <c r="B107" s="2" t="inlineStr">
        <is>
          <t>Barbecook BC-ACC-7225 pizzalapát, FSC, 63x32cm</t>
        </is>
      </c>
      <c r="C107" s="1" t="n">
        <v>14690.0</v>
      </c>
      <c r="D107" s="7" t="n">
        <f>HYPERLINK("https://www.somogyi.hu/product/barbecook-bc-acc-7225-pizzalapat-fsc-63x32cm-bc-acc-7225-18730","https://www.somogyi.hu/product/barbecook-bc-acc-7225-pizzalapat-fsc-63x32cm-bc-acc-7225-18730")</f>
        <v>0.0</v>
      </c>
      <c r="E107" s="7" t="n">
        <f>HYPERLINK("https://www.somogyi.hu/data/img/product_main_images/small/18730.jpg","https://www.somogyi.hu/data/img/product_main_images/small/18730.jpg")</f>
        <v>0.0</v>
      </c>
      <c r="F107" s="2" t="inlineStr">
        <is>
          <t>5420059805589</t>
        </is>
      </c>
      <c r="G107" s="4" t="inlineStr">
        <is>
          <t>Szeretné pizzáját tökéletesen, egyszerűen felhelyezni és levenni a grillről? A Barbecook BC-ACC-7225 pizzalapátja megkönnyíti ezt a folyamatot, lehetővé téve, hogy mint egy igazi pizzamester, elkészíthesse a család vagy ismerősök kedvenc ételeit.
A Barbecook BC-ACC-7225 pizzalapát különlegessége a nagysága. 63x32 cm-es méretével szinte minden pizzához megfelelő. Legyen szó akár otthon készített, akár mélyhűtött pizzáról, ez a lapát biztosítja, hogy a pizza épségben kerüljön a grillre és ugyanígy távozzon onnan. Az FSC®-minősített faanyagból készült nyél nemcsak környezetbarát választás, hanem garantálja a termék hosszú távú tartósságát és stabilitását is.
A Barbecook BC-ACC-7225 pizzalapát tökéletes eszköz minden grillpartira vagy családi összejövetelre, ahol a pizza van a középpontban. Könnyedén kezelhető, így bárki számára egyszerűvé teszi a pizza készítést.
Ne hagyja, hogy a pizza kezelése megzavarja grillezési élményét. Válassza a Barbecook BC-ACC-7225 pizzalapátot, és élvezze a problémamentes, profi pizzakészítést saját otthonában!</t>
        </is>
      </c>
    </row>
    <row r="108">
      <c r="A108" s="3" t="inlineStr">
        <is>
          <t>GRT03</t>
        </is>
      </c>
      <c r="B108" s="2" t="inlineStr">
        <is>
          <t>Home GRT03 pizzalapát, összecsukható nyél, rozsdamentes, 240x570 mm</t>
        </is>
      </c>
      <c r="C108" s="1" t="n">
        <v>6390.0</v>
      </c>
      <c r="D108" s="7" t="n">
        <f>HYPERLINK("https://www.somogyi.hu/product/home-grt03-pizzalapat-osszecsukhato-nyel-rozsdamentes-240x570-mm-grt03-19073","https://www.somogyi.hu/product/home-grt03-pizzalapat-osszecsukhato-nyel-rozsdamentes-240x570-mm-grt03-19073")</f>
        <v>0.0</v>
      </c>
      <c r="E108" s="7" t="n">
        <f>HYPERLINK("https://www.somogyi.hu/data/img/product_main_images/small/19073.jpg","https://www.somogyi.hu/data/img/product_main_images/small/19073.jpg")</f>
        <v>0.0</v>
      </c>
      <c r="F108" s="2" t="inlineStr">
        <is>
          <t>5999084970666</t>
        </is>
      </c>
      <c r="G108" s="4" t="inlineStr">
        <is>
          <t>Hogyan tehető igazán profi élménnyé az otthoni pizzasütés? 
A Home GRT03 pizzalapát praktikus kialakításával és rozsdamentes acél anyagával tökéletes társ minden háztartásban, ahol a frissen sült, ropogós pizza élvezete fontos szempont. Akár kemencében, grillsütőben vagy hagyományos sütőben készíti a pizzát, ez a kiegészítő garantálja a biztonságos, kényelmes és higiénikus használatot.
Összecsukható nyél a helytakarékos tárolásért
A pizzalapát összecsukható nyéllel rendelkezik, amely ideálissá teszi azok számára, akik értékelik a praktikusságot és a helytakarékosságot. A nyél stabilan rögzíthető a használat során, majd könnyed mozdulattal összecsukható, így fiókban, polcon vagy akár hátizsákban is könnyen elfér – legyen szó otthoni vagy szabadtéri sütögetésről.
Tartós, higiénikus rozsdamentes acél felület
A rozsdamentes acél kialakítás nemcsak esztétikus és időtálló, hanem higiénikus is, mivel nem szívja magába a zsiradékot, nedvességet vagy szagokat. Könnyen tisztítható, és hosszú élettartamot biztosít még rendszeres használat mellett is. A 240 mm széles és 570 mm hosszú lapát tökéletesen alkalmas akár nagyobb pizzák alá nyúlására is, anélkül hogy az étel sérülne vagy elcsúszna.
Kényelmes használat, biztonságos kivitel
A hosszú, összecsukható nyél lehetővé teszi, hogy a forró sütőbe vagy kemencébe biztonságosan benyúljon anélkül, hogy megégetné magát. A stabil felépítés biztosítja, hogy a pizzát könnyedén mozgathassa, forgathassa vagy kiemelhesse a sütőből anélkül, hogy megbillenne.
Miért válassza a Home GRT03 pizzalapátot?
- Összecsukható nyél a kényelmes tárolásért
- Rozsdamentes acél felület a hosszú távú használhatóságért
- Könnyen tisztítható, higiénikus anyag
- Stabil és biztonságos kialakítás
- Ideális pizzasütéshez, lepényekhez, vagy más lapos tésztákhoz
Emelje új szintre a házi pizzakészítés élményét! Válassza a Home GRT03 pizzalapátot, és élvezze a professzionális sütés szabadságát otthonában vagy akár a kertben!</t>
        </is>
      </c>
    </row>
    <row r="109">
      <c r="A109" s="3" t="inlineStr">
        <is>
          <t>BC-ACC-7013</t>
        </is>
      </c>
      <c r="B109" s="2" t="inlineStr">
        <is>
          <t>Barbecook BC-ACC-7013 univerzális pizzakő, tűzálló, 36cm átmérő</t>
        </is>
      </c>
      <c r="C109" s="1" t="n">
        <v>17890.0</v>
      </c>
      <c r="D109" s="7" t="n">
        <f>HYPERLINK("https://www.somogyi.hu/product/barbecook-bc-acc-7013-univerzalis-pizzako-tuzallo-36cm-atmero-bc-acc-7013-18783","https://www.somogyi.hu/product/barbecook-bc-acc-7013-univerzalis-pizzako-tuzallo-36cm-atmero-bc-acc-7013-18783")</f>
        <v>0.0</v>
      </c>
      <c r="E109" s="7" t="n">
        <f>HYPERLINK("https://www.somogyi.hu/data/img/product_main_images/small/18783.jpg","https://www.somogyi.hu/data/img/product_main_images/small/18783.jpg")</f>
        <v>0.0</v>
      </c>
      <c r="F109" s="2" t="inlineStr">
        <is>
          <t>5400269231675</t>
        </is>
      </c>
      <c r="G109" s="4" t="inlineStr">
        <is>
          <t>Szeretné otthonában élvezni a különféle nemzetek ízeit anélkül, hogy elhagyná kertjét? Tenne egy kulináris utazást Olaszországba? 
Egy ropogós, ellenállhatatlan feltétekkel megrakott pizza az, ami azonnal eszünkbe jut! De hogyan készíthető el a legjobban? Természetesen a grillen! Ismerje meg a BBQ pizza lapot, egy rendkívül praktikus eszközt, amely gáz- és faszenes grilleken egyaránt használható. Egy BBQ pizza lappal azonnal átalakíthatja a grilljét egy valódi pizza sütővé!
Ez a különleges 36cm átmérőjű pizzakő lehetővé teszi, hogy otthonában, saját kertjében készítse el az autentikus, tűzön sült pizzákat. A Barbecook univerzális pizza lap használata egyszerű, így bárki képes lesz a tökéletes olasz pizzát elkészíteni, akár gáz-, akár faszenes grillen. Legyen szó hagyományos Margheritáról vagy egyedi, saját kreálmányról, a BBQ pizza lap segítségével minden pizza ropogós aljat és tökéletesen megolvadt sajtot kap.
Hívja meg barátait egy olasz estére, és kápráztassa el őket házi készítésű pizzáival a Barbecook BC-ACC-7013 pizzakő segítségével!</t>
        </is>
      </c>
    </row>
    <row r="110">
      <c r="A110" s="3" t="inlineStr">
        <is>
          <t>BC-ACC-7451</t>
        </is>
      </c>
      <c r="B110" s="2" t="inlineStr">
        <is>
          <t>Barbecook BC-ACC-7451 pizza sütő Magnus grillhez</t>
        </is>
      </c>
      <c r="C110" s="1" t="n">
        <v>59390.0</v>
      </c>
      <c r="D110" s="7" t="n">
        <f>HYPERLINK("https://www.somogyi.hu/product/barbecook-bc-acc-7451-pizza-suto-magnus-grillhez-bc-acc-7451-18909","https://www.somogyi.hu/product/barbecook-bc-acc-7451-pizza-suto-magnus-grillhez-bc-acc-7451-18909")</f>
        <v>0.0</v>
      </c>
      <c r="E110" s="7" t="n">
        <f>HYPERLINK("https://www.somogyi.hu/data/img/product_main_images/small/18909.jpg","https://www.somogyi.hu/data/img/product_main_images/small/18909.jpg")</f>
        <v>0.0</v>
      </c>
      <c r="F110" s="2" t="inlineStr">
        <is>
          <t>5404035701461</t>
        </is>
      </c>
      <c r="G110" s="4" t="inlineStr">
        <is>
          <t>Hogyan varázsolhatunk éttermi minőségű pizzát otthon? Fedezze fel a Barbecook BC-ACC-7451 pizza sütő kiegészítőt, amely a tökéletes választás minden pizzaimádó számára! Ez az egyszerűen használható kiegészítő lehetővé teszi, hogy a Barbecook BC-CHA-1069 Magnus grilljén pillanatok alatt ízletes és ropogós pizzát készítsen. A Barbecook téglalap alakú pizzakövével együtt alkalmazva (tartozék) garantált a sikeres sütés, hiszen a tartozék méretei (70x44,5x19,5 cm) pontosan illeszkednek a grillhez, így optimális hőeloszlást biztosítanak.
Ez a pizza sütő kiegészítő nem csak hatékony, de rendkívül praktikus is. Könnyen fel- és leszerelhető a Magnus grillre, így nem kell bajlódnia a bonyolult összeszereléssel. Emellett a kiváló minőségű anyagok biztosítják a hosszú élettartamot és a tartósságot, így Ön sokáig élvezheti a házi készítésű pizza örömét.
Ne várjon tovább, hozza ki a legtöbbet a grilljéből és élvezze a frissen sült pizza ízét otthonában! Vásárolja meg most a Barbecook BC-ACC-7451 pizza sütő kiegészítőt, és váljon Ön is a kertiparti sztárjává!</t>
        </is>
      </c>
    </row>
    <row r="111">
      <c r="A111" s="3" t="inlineStr">
        <is>
          <t>BC-ACC-7034</t>
        </is>
      </c>
      <c r="B111" s="2" t="inlineStr">
        <is>
          <t>Barbecook BC-ACC-7034 Olivia rozsdamentes acél pizzalapát, 43cm-es, fekete nyél</t>
        </is>
      </c>
      <c r="C111" s="1" t="n">
        <v>8790.0</v>
      </c>
      <c r="D111" s="7" t="n">
        <f>HYPERLINK("https://www.somogyi.hu/product/barbecook-bc-acc-7034-olivia-rozsdamentes-acel-pizzalapat-43cm-es-fekete-nyel-bc-acc-7034-18765","https://www.somogyi.hu/product/barbecook-bc-acc-7034-olivia-rozsdamentes-acel-pizzalapat-43cm-es-fekete-nyel-bc-acc-7034-18765")</f>
        <v>0.0</v>
      </c>
      <c r="E111" s="7" t="n">
        <f>HYPERLINK("https://www.somogyi.hu/data/img/product_main_images/small/18765.jpg","https://www.somogyi.hu/data/img/product_main_images/small/18765.jpg")</f>
        <v>0.0</v>
      </c>
      <c r="F111" s="2" t="inlineStr">
        <is>
          <t>5400269210625</t>
        </is>
      </c>
      <c r="G111" s="4" t="inlineStr">
        <is>
          <t>Szeretné otthonában is mesterszintre emelni a pizzakészítés művészetét? A Barbecook BC-ACC-7034 Olivia rozsdamentes pizzalapát a tökéletes eszköz minden pizzakedvelő számára, aki a grillen is kívánja élvezni az igazi, ropogós aljú pizzák ízét.
Ez a prémium minőségű rozsdamentes acélból készült pizzalapát nem csak megkönnyíti a pizza grillre helyezését és annak eltávolítását, de biztosítja a sütési folyamat biztonságát is. A termék méretei – 18x18x43cm – ideálisak a különböző méretű pizzák kezeléséhez, így bármilyen otthoni pizzasütés könnyedén profi szintűvé avanzsálhat.
A kényelmes tárolást lehetővé tevő akasztóval ellátott Olivia pizzalapát nemcsak hasznos, hanem elegáns kiegészítője is lesz a grillezési eszközeinek. Akár a kertben tartott baráti összejövetelekről van szó, akár egy csendes családi vacsoráról, ez a lapát garantálja, hogy a pizzák tökéletes állapotban kerüljenek az asztalra.
Tegye a pizzakészítést egyszerűvé és élvezetessé a Barbecook BC-ACC-7034 Olivia rozsdamentes pizzalapáttal.</t>
        </is>
      </c>
    </row>
    <row r="112">
      <c r="A112" s="6" t="inlineStr">
        <is>
          <t xml:space="preserve">      Grillezés / Grill kiegészítő / Sütőlapok és rácsok</t>
        </is>
      </c>
      <c r="B112" s="6" t="inlineStr">
        <is>
          <t/>
        </is>
      </c>
      <c r="C112" s="6" t="inlineStr">
        <is>
          <t/>
        </is>
      </c>
      <c r="D112" s="6" t="inlineStr">
        <is>
          <t/>
        </is>
      </c>
      <c r="E112" s="6" t="inlineStr">
        <is>
          <t/>
        </is>
      </c>
      <c r="F112" s="6" t="inlineStr">
        <is>
          <t/>
        </is>
      </c>
      <c r="G112" s="6" t="inlineStr">
        <is>
          <t/>
        </is>
      </c>
    </row>
    <row r="113">
      <c r="A113" s="3" t="inlineStr">
        <is>
          <t>BC-ACC-7059</t>
        </is>
      </c>
      <c r="B113" s="2" t="inlineStr">
        <is>
          <t>Barbecook BC-ACC-7059 univerzális grillrács</t>
        </is>
      </c>
      <c r="C113" s="1" t="n">
        <v>9490.0</v>
      </c>
      <c r="D113" s="7" t="n">
        <f>HYPERLINK("https://www.somogyi.hu/product/barbecook-bc-acc-7059-univerzalis-grillracs-bc-acc-7059-18739","https://www.somogyi.hu/product/barbecook-bc-acc-7059-univerzalis-grillracs-bc-acc-7059-18739")</f>
        <v>0.0</v>
      </c>
      <c r="E113" s="7" t="n">
        <f>HYPERLINK("https://www.somogyi.hu/data/img/product_main_images/small/18739.jpg","https://www.somogyi.hu/data/img/product_main_images/small/18739.jpg")</f>
        <v>0.0</v>
      </c>
      <c r="F113" s="2" t="inlineStr">
        <is>
          <t>5400269240677</t>
        </is>
      </c>
      <c r="G113" s="4" t="inlineStr">
        <is>
          <t>Egy multifunkcionális grillrácsot keres, ami könnyedén alkalmazkodik minden sütési igényhez? A Barbecook BC-ACC-7059 univerzális grillrács a tökéletes választás azok számára, akik szeretik a változatosságot és az egyszerű használatot grillpartijaik során.
Ez a kiváló minőségű grillrács ideális megoldást nyújt mindenféle étel könnyű forgatásához, legyen szó zöldségekről, húsokról, halakról vagy akár szendvicsekről. A 41x62 cm méret biztosítja, hogy egyszerre nagyobb mennyiségű étel is elférjen rajta, így akár nagyobb társaságokat is kényelmesen elláthatunk finomabbnál finomabb grillezett fogásokkal.
A Barbecook BC-ACC-7059 nemcsak praktikus, de fenntartható választás is. Az FSC®-minősítés garantálja, hogy a termék gyártása során figyelembe vették a környezetvédelmi szempontokat, így választásával Ön is hozzájárulhat a fenntartható erdőgazdálkodáshoz.
Ráadásul rendkívül könnyen tisztítható, így nem kell órákat töltenie a sütés utáni takarítással. Egyszerűen csak öblítse le vízzel, és máris kész a következő használatra.
Ne hagyja, hogy a grillezési élményt a körülményes előkészületek és a takarítás árnyékolja be. A Barbecook BC-ACC-7059 univerzális grillrács segítségével Ön is profi szakácsként varázsolhatja el vendégeit, miközben a környezettudatos és egyszerű használatnak köszönhetően több idő jut magára a szórakozásra.</t>
        </is>
      </c>
    </row>
    <row r="114">
      <c r="A114" s="3" t="inlineStr">
        <is>
          <t>BC-ACC-7088</t>
        </is>
      </c>
      <c r="B114" s="2" t="inlineStr">
        <is>
          <t>Barbecook BC-ACC-7088 Brahma kétoldalas öntöttvas grill lap, 24x42cm</t>
        </is>
      </c>
      <c r="C114" s="1" t="n">
        <v>23590.0</v>
      </c>
      <c r="D114" s="7" t="n">
        <f>HYPERLINK("https://www.somogyi.hu/product/barbecook-bc-acc-7088-brahma-ketoldalas-ontottvas-grill-lap-24x42cm-bc-acc-7088-18787","https://www.somogyi.hu/product/barbecook-bc-acc-7088-brahma-ketoldalas-ontottvas-grill-lap-24x42cm-bc-acc-7088-18787")</f>
        <v>0.0</v>
      </c>
      <c r="E114" s="7" t="n">
        <f>HYPERLINK("https://www.somogyi.hu/data/img/product_main_images/small/18787.jpg","https://www.somogyi.hu/data/img/product_main_images/small/18787.jpg")</f>
        <v>0.0</v>
      </c>
      <c r="F114" s="2" t="inlineStr">
        <is>
          <t>5400269224318</t>
        </is>
      </c>
      <c r="G114" s="4" t="inlineStr">
        <is>
          <t>Gondolkodott már azon, hogyan tehetné a grillezési élményét még különlegesebbé? A Barbecook BC-ACC-7088 Brahma kétoldalas öntöttvas grill lap pontosan ezt kínálja minden kompatibilis faszenes grill tulajdonos számára.
Ez a precíziósan kialakított grill lap a hő egyenletes eloszlását biztosítja, így az ételek minden oldalról tökéletesre sülnek. Legyen szó zöldségekről, húsról vagy akár a reggeli kedvencekről, a kétoldalas kialakítás – egy sima és egy bordázott oldal – minden igényt kielégít. A sima felület ideális palacsintákhoz vagy tojásokhoz, míg a bordázott felület a húsoknak és zöldségeknek adja meg azt a csíkozott, jellegzetes grillezett külsőt. Méretei (42x24cm) tökéletesen illeszkednek a legtöbb faszenes grillre, könnyen tisztítható felülete pedig biztosítja, hogy hosszú távon megtarthassa eredeti minőségét.
Fedezze fel a Barbecook Brahma kétoldalas öntöttvas grill lap adta végtelen lehetőségeket!</t>
        </is>
      </c>
    </row>
    <row r="115">
      <c r="A115" s="3" t="inlineStr">
        <is>
          <t>BC-ACC-7443</t>
        </is>
      </c>
      <c r="B115" s="2" t="inlineStr">
        <is>
          <t>Barbecook BC-ACC-7443 Kamal kamado 60/XL öntöttvas rács szett, 2db félhold alakú</t>
        </is>
      </c>
      <c r="C115" s="1" t="n">
        <v>40790.0</v>
      </c>
      <c r="D115" s="7" t="n">
        <f>HYPERLINK("https://www.somogyi.hu/product/barbecook-bc-acc-7443-kamal-kamado-60-xl-ontottvas-racs-szett-2db-felhold-alaku-bc-acc-7443-18794","https://www.somogyi.hu/product/barbecook-bc-acc-7443-kamal-kamado-60-xl-ontottvas-racs-szett-2db-felhold-alaku-bc-acc-7443-18794")</f>
        <v>0.0</v>
      </c>
      <c r="E115" s="7" t="n">
        <f>HYPERLINK("https://www.somogyi.hu/data/img/product_main_images/small/18794.jpg","https://www.somogyi.hu/data/img/product_main_images/small/18794.jpg")</f>
        <v>0.0</v>
      </c>
      <c r="F115" s="2" t="inlineStr">
        <is>
          <t>5420059859605</t>
        </is>
      </c>
      <c r="G115" s="4" t="inlineStr">
        <is>
          <t>Szeretné, hogy a grillezett ételei minden oldalról tökéletesen és egyenletesen átsüljenek? A Barbecook BC-ACC-7443 Kamal kamado 60/XL öntöttvas rács szettje ezt a vágyát valóra váltja, biztosítva, hogy minden falat a lehető legfinomabb legyen.
Ez a kivételes minőségű öntöttvas rács szett speciálisan a Barbecook Kamal kamado 60/XL faszenes grillhez lett tervezve, így tökéletes illeszkedést és optimális hőeloszlást garantál. Az öntöttvas anyagának köszönhetően ezek a rácsok rendkívül tartósak és ideálisak a hő tárolására, ami lehetővé teszi, hogy az ételek egyenletesen átsüljenek és megőrizzék zamataikat.
Tegye grillezési élményét még különlegesebbé ezzel az öntöttvas rács szettel, amely nemcsak hogy javítja az ízeket és a textúrákat, de a grillezés folyamatát is könnyebbé és zökkenőmentesebbé teszi. Legyen szó steakről, zöldségekről vagy akár halról, ezek a rácsok biztosítják, hogy minden egyes alkalommal a lehető legjobb eredményt érje el.
Fedezze fel a Barbecook Kamal kamado 60/XL öntöttvas rács szettjének előnyeit, és élvezze a hosszantartó, egyenletes hőeloszlást, amely minden egyes grillezésnél tökéletes eredményt garantál.</t>
        </is>
      </c>
    </row>
    <row r="116">
      <c r="A116" s="3" t="inlineStr">
        <is>
          <t>BC-ACC-7460</t>
        </is>
      </c>
      <c r="B116" s="2" t="inlineStr">
        <is>
          <t>Barbecook BC-ACC-7460 rozsdamentes acél sütőrács, 55x33,6cm</t>
        </is>
      </c>
      <c r="C116" s="1" t="n">
        <v>18790.0</v>
      </c>
      <c r="D116" s="7" t="n">
        <f>HYPERLINK("https://www.somogyi.hu/product/barbecook-bc-acc-7460-rozsdamentes-acel-sutoracs-55x33-6cm-bc-acc-7460-18797","https://www.somogyi.hu/product/barbecook-bc-acc-7460-rozsdamentes-acel-sutoracs-55x33-6cm-bc-acc-7460-18797")</f>
        <v>0.0</v>
      </c>
      <c r="E116" s="7" t="n">
        <f>HYPERLINK("https://www.somogyi.hu/data/img/product_main_images/small/18797.jpg","https://www.somogyi.hu/data/img/product_main_images/small/18797.jpg")</f>
        <v>0.0</v>
      </c>
      <c r="F116" s="2" t="inlineStr">
        <is>
          <t>5404035701706</t>
        </is>
      </c>
      <c r="G116" s="4" t="inlineStr">
        <is>
          <t>Szeretné fokozni a szabadtéri élményt grilljével? A Barbecook BC-ACC-7460 rozsdamentes acél sütőrács az, amire szüksége van! 
Ez a prémium minőségű sütőrács kifejezetten a Barbecook Loewy 55 és Arena modellekhez, valamint minden velük kompatibilis faszenes grillhez lett tervezve, így garantálja az illeszkedést és a tökéletes használati élményt.
Bármilyen ételt (legyen az hús, zöldség vagy akár egy egész hal) könnyedén megsüthet segítségével. A 55x33,6cm méretű rács bőséges helyet kínál az összetevőknek, miközben a rozsdamentes acél anyaga biztosítja a tartósságot és az egyszerű tisztíthatóságot. Többé nem kell aggódnia az ételek leragadása vagy a tisztítás nehézségei miatt.
Változtassa grillezési rutinját egy szinttel magasabb színvonalúvá a Barbecook BC-ACC-7460 sütőráccsal!</t>
        </is>
      </c>
    </row>
    <row r="117">
      <c r="A117" s="3" t="inlineStr">
        <is>
          <t>BC-ACC-7126</t>
        </is>
      </c>
      <c r="B117" s="2" t="inlineStr">
        <is>
          <t>Barbecook BC-ACC-7126 Dynamic Core zománcozott öntöttvas grill lap, 43x35cm</t>
        </is>
      </c>
      <c r="C117" s="1" t="n">
        <v>42490.0</v>
      </c>
      <c r="D117" s="7" t="n">
        <f>HYPERLINK("https://www.somogyi.hu/product/barbecook-bc-acc-7126-dynamic-core-zomancozott-ontottvas-grill-lap-43x35cm-bc-acc-7126-18790","https://www.somogyi.hu/product/barbecook-bc-acc-7126-dynamic-core-zomancozott-ontottvas-grill-lap-43x35cm-bc-acc-7126-18790")</f>
        <v>0.0</v>
      </c>
      <c r="E117" s="7" t="n">
        <f>HYPERLINK("https://www.somogyi.hu/data/img/product_main_images/small/18790.jpg","https://www.somogyi.hu/data/img/product_main_images/small/18790.jpg")</f>
        <v>0.0</v>
      </c>
      <c r="F117" s="2" t="inlineStr">
        <is>
          <t>5400269240530</t>
        </is>
      </c>
      <c r="G117" s="4" t="inlineStr">
        <is>
          <t>Ön is szereti a déli konyhát? Akkor a Barbecook BC-ACC-7126 Dynamic Core zománcozott öntöttvas grill lapja pontosan Önnek való! Helyezze a grill lapot a gázgrilljére, és fedezzen fel rengeteg új grillezési lehetőséget. ¡Caramba!
Mi is az a Dynamic Core zománcozott öntöttvas grill lap?
Amikor egy spanyol étterembe látogat, kétségtelenül találkozni fog a 'à la plancha' fogalmával az étlapon. Ez szó szerint azt jelenti: sütés lapos serpenyőben. Hogy ezt az élményt a gázgrilljén is megvalósíthassa, a Barbecook megalkotta az univerzális, Dynamic Core zománcozott öntöttvas grill lapot. Ez teljesen zománcozott öntöttvasból készült, és rendelkezik egy sima és egy bordázott oldallal. A grill lap specifikus összetétele biztosítja, hogy gyorsan felmelegszik, és megtartja a hőt. Így kedvenc hozzávalóinak, mint például a garnéla vagy a tintahal pirítása gyerekjátékká válik. Ez a grill lap kifejezetten a Barbecook Siesta és Barbecook Stella gázgrillekhez lett tervezve.
Hogyan kell használni?
A Barbecook univerzális grill lapjának használata rendkívül egyszerű. Helyezze a grill lapot a gázgrilljére, nyissa ki a gázpalackot. Állítsa az összes égőt teljes teljesítményre, és hagyja a grillt körülbelül tíz percig előmelegedni. Amikor a grill elég forró, tegyen egy kis olívaolajat a grill lapra, és kezdődhet is az 'à la plancha' grillezés. Minél forróbb a lap, annál kisebb az esélye annak, hogy az ételek hozzátapadnak. Ráadásul a magas hőmérséklet megőrzi az alapanyagok tiszta ízét. Szeretne lapos serpenyőn grillezni, vagy inkább néhány grillcsíkot látni az elkészített ételeken? Az univerzális grill lappal mindkettőre van lehetőség! A grill lapos grillezés nagyon gyors, szóval ne felejtse el időben megfordítani a hozzávalókat. Például a garnélákat oldalanként mindössze 2 percig kell sütni. A kész ételeket spatulával szedje le a lapról.
Hogyan tartsuk karban az univerzális grill lapot?
A grill lap karbantartása egyszerű! Aggresszív tisztítószerek használatát kerülje. Egyszerűen öntsön egy kis vizet a forró grill lapra, hogy lazítsa a szennyeződést. Ezután használjon egy puha szivacsot vagy rongyot a maradék zsírmaradványok eltávolításához, amikor az eszköz lehűlt. Soha ne felejtse teljesen megszárítani a grill lapot a tárolás előtt.
Vágjon bele a grillezésbe a Barbecook Dynamic Core zománcozott öntöttvas grill lapjával, és elkápráztathatja vendégeit!</t>
        </is>
      </c>
    </row>
    <row r="118">
      <c r="A118" s="3" t="inlineStr">
        <is>
          <t>BC-ACC-7087</t>
        </is>
      </c>
      <c r="B118" s="2" t="inlineStr">
        <is>
          <t>Barbecook BC-ACC-7087 zománcozott öntöttvas grill lap, kétoldalas, kerek, 35cm</t>
        </is>
      </c>
      <c r="C118" s="1" t="n">
        <v>24590.0</v>
      </c>
      <c r="D118" s="7" t="n">
        <f>HYPERLINK("https://www.somogyi.hu/product/barbecook-bc-acc-7087-zomancozott-ontottvas-grill-lap-ketoldalas-kerek-35cm-bc-acc-7087-18786","https://www.somogyi.hu/product/barbecook-bc-acc-7087-zomancozott-ontottvas-grill-lap-ketoldalas-kerek-35cm-bc-acc-7087-18786")</f>
        <v>0.0</v>
      </c>
      <c r="E118" s="7" t="n">
        <f>HYPERLINK("https://www.somogyi.hu/data/img/product_main_images/small/18786.jpg","https://www.somogyi.hu/data/img/product_main_images/small/18786.jpg")</f>
        <v>0.0</v>
      </c>
      <c r="F118" s="2" t="inlineStr">
        <is>
          <t>5400269219611</t>
        </is>
      </c>
      <c r="G118" s="4" t="inlineStr">
        <is>
          <t>Szeretne minden grillezésnél tökéletes eredményt elérni? A Barbecook BC-ACC-7087 kétoldalas kerek öntöttvas grill lap az ideális eszköz minden kompatibilis faszenes grillhez, amely garantálja az ételek egyenletes sütését.
Ez 35cm átmérőjű, magas minőségű, zománcozott öntöttvas grill lap tökéletes választás a húsok, zöldségek és még sok más ételek sütésére. Kétoldalas kialakításának köszönhetően választhat a sima felület és a bordázott oldal között, így sokoldalúsága lehetővé teszi mindenféle étel elkészítését. A sima oldal kiváló a palacsintákhoz vagy reggeli ételekhez, míg a bordázott oldal grillezett zöldségekhez és húsokhoz ideális, amelyek így megkapják a jellegzetes grillezési nyomokat.
Hozza ki a legtöbbet grillezésből a Barbecook kétoldalas öntöttvas grill lappal!</t>
        </is>
      </c>
    </row>
    <row r="119">
      <c r="A119" s="3" t="inlineStr">
        <is>
          <t>BC-ACC-7463</t>
        </is>
      </c>
      <c r="B119" s="2" t="inlineStr">
        <is>
          <t>Barbecook BC-ACC-7463 zománcozott öntöttvas grill lap, 28.5x18.5cm</t>
        </is>
      </c>
      <c r="C119" s="1" t="n">
        <v>8990.0</v>
      </c>
      <c r="D119" s="7" t="n">
        <f>HYPERLINK("https://www.somogyi.hu/product/barbecook-bc-acc-7463-zomancozott-ontottvas-grill-lap-28-5x18-5cm-bc-acc-7463-18820","https://www.somogyi.hu/product/barbecook-bc-acc-7463-zomancozott-ontottvas-grill-lap-28-5x18-5cm-bc-acc-7463-18820")</f>
        <v>0.0</v>
      </c>
      <c r="E119" s="7" t="n">
        <f>HYPERLINK("https://www.somogyi.hu/data/img/product_main_images/small/18820.jpg","https://www.somogyi.hu/data/img/product_main_images/small/18820.jpg")</f>
        <v>0.0</v>
      </c>
      <c r="F119" s="2" t="inlineStr">
        <is>
          <t>5404035708064</t>
        </is>
      </c>
      <c r="G119" s="4" t="inlineStr">
        <is>
          <t>Vajon hogyan tehetné grillezési élményét még különlegesebbé? A Barbecook BC-ACC-7463 zománcozott öntöttvas grill lapjával könnyedén fokozhatja a grillezési élményt, mely minden Barbecook Carlo és E-Carlo modellhez illeszkedik. 
Ez a grill lap garantálja a hő egyenletes eloszlását, így minden fogása tökéletesen átsül. A grill lap egyik oldala sima, a másik pedig bordázott, így különböző textúrájú ételek elkészítésére is alkalmas, legyen szó akár tökéletesen sima, akár csíkozott sütési felületről. A zománcozott bevonat nemcsak a tisztítást teszi gyorsabbá és egyszerűbbé, de hosszabb élettartamot is biztosít a grill lapnak.28,5x18,5 cm-es méreteivel ideális számos étel elkészítéséhez, anélkül, hogy túl sok helyet foglalna el a grillen. Készítsen tökéletes grillcsíkos steakeket, finom zöldségeket vagy akár palacsintát a szabad ég alatt, és tegyen minden grillezési alkalmat felejthetetlenné.
Ne hagyja ki ezt a kiváló kiegészítőt, amely új szintre emeli a grillezést. Szerezze be most a Barbecook zománcozott öntöttvas grill lapját, és élvezze az egyszerű használat és a tökéletes eredmények örömét!</t>
        </is>
      </c>
    </row>
    <row r="120">
      <c r="A120" s="3" t="inlineStr">
        <is>
          <t>BC-ACC-7104</t>
        </is>
      </c>
      <c r="B120" s="2" t="inlineStr">
        <is>
          <t>Barbecook BC-ACC-7104 hamburgersütő grillrács, krómozott, fa nyél, 100% FSC, 6db-os</t>
        </is>
      </c>
      <c r="C120" s="1" t="n">
        <v>6990.0</v>
      </c>
      <c r="D120" s="7" t="n">
        <f>HYPERLINK("https://www.somogyi.hu/product/barbecook-bc-acc-7104-hamburgersuto-grillracs-kromozott-fa-nyel-100-fsc-6db-os-bc-acc-7104-18723","https://www.somogyi.hu/product/barbecook-bc-acc-7104-hamburgersuto-grillracs-kromozott-fa-nyel-100-fsc-6db-os-bc-acc-7104-18723")</f>
        <v>0.0</v>
      </c>
      <c r="E120" s="7" t="n">
        <f>HYPERLINK("https://www.somogyi.hu/data/img/product_main_images/small/18723.jpg","https://www.somogyi.hu/data/img/product_main_images/small/18723.jpg")</f>
        <v>0.0</v>
      </c>
      <c r="F120" s="2" t="inlineStr">
        <is>
          <t>5400269240738</t>
        </is>
      </c>
      <c r="G120" s="4" t="inlineStr">
        <is>
          <t>Szeretne tökéletes hamburgereket készíteni grillen? A Barbecook BC-ACC-7104 hamburgersütő grillrács lehet az, amire szüksége van. 
Ez a speciálisan tervezett rács ideális eszköz arra, hogy egyszerre hat húspogácsát egyenletesen meg tudjon sütni, így garantálva a tökéletes ízélményt minden egyes falatnál.
Az FSC® címkével ellátott, 35x3x52,5cm-es grillrács nem csak praktikus, hanem környezettudatos választás is. Mindenki szeret időnként egy szaftos hamburgert enni, ami ropogós zsemlébe van csomagolva, ízletes hozzávalókkal, mint a cheddar sajt és a hagyma. És mindez még finomabbá válik, ha a grillezést választjuk az elkészítés módjának. Vendégeket hív vagy az egész családnak szeretne hamburgert készíteni? Akkor használja a hamburgersütő grillrácsot, melynek segítségével egyszerre több húspogácsát is süthet, így időt spórolhat meg.
Szerezze be a Barbecook hamburgersütő grillrácsot, és készítsen ellenállhatatlan hamburgereket a következő kerti partira!</t>
        </is>
      </c>
    </row>
    <row r="121">
      <c r="A121" s="3" t="inlineStr">
        <is>
          <t>BC-ACC-7441</t>
        </is>
      </c>
      <c r="B121" s="2" t="inlineStr">
        <is>
          <t>Barbecook BC-ACC-7441 Kamal kamado 60/XL sütőrendszer</t>
        </is>
      </c>
      <c r="C121" s="1" t="n">
        <v>84590.0</v>
      </c>
      <c r="D121" s="7" t="n">
        <f>HYPERLINK("https://www.somogyi.hu/product/barbecook-bc-acc-7441-kamal-kamado-60-xl-sutorendszer-bc-acc-7441-18793","https://www.somogyi.hu/product/barbecook-bc-acc-7441-kamal-kamado-60-xl-sutorendszer-bc-acc-7441-18793")</f>
        <v>0.0</v>
      </c>
      <c r="E121" s="7" t="n">
        <f>HYPERLINK("https://www.somogyi.hu/data/img/product_main_images/small/18793.jpg","https://www.somogyi.hu/data/img/product_main_images/small/18793.jpg")</f>
        <v>0.0</v>
      </c>
      <c r="F121" s="2" t="inlineStr">
        <is>
          <t>5420059859582</t>
        </is>
      </c>
      <c r="G121" s="4" t="inlineStr">
        <is>
          <t>Keres egy módszert, hogy a grillezés során a lehető legtökéletesebb hőeloszlást érje el? A Barbecook BC-ACC-7441 Kamal 60/XL sütőrendszerrel mostantól kétszintes grillezési lehetőséget biztosítunk, amely a hőt optimálisan osztja el, így a grillételek minden oldala tökéletesen átsül.
Ez a rendszer kifejezetten a Barbecook Kamal kamado 60/XL faszenes grillhez lett tervezve, ami lehetővé teszi, hogy az indirekt grillezési technikát alkalmazva, még finomabb és zamatosabb ételeket készíthessen. Az indirekt grillezés ideális választás nagyobb húsok, mint például egész csirkék vagy nagyobb húsadagok lassú, egyenletes sütéséhez, ahol a hő nem közvetlenül az étel alatt, hanem a grill belsejében kering.
A két szintű elrendezés nemcsak több helyet biztosít a grillezendő ételek számára, hanem lehetővé teszi, hogy különböző hőmérsékleten süssön egyszerre többféle ételt. Így párhuzamosan készítheti el a főételt és a köreteket is, maximalizálva ezzel a grillfelületet.
A Barbecook BC-ACC-7441 Kamal 60/XL sütőrendszerrel a grillezés művészete új dimenzióba lép. Tökéletes hőeloszlás, rugalmasság és az indirekt grillezés előnyei várják, hogy felfedezze őket. Változtassa grillezési élményét egyedülállóvá ezzel a kifinomult és innovatív sütőrendszerrel.</t>
        </is>
      </c>
    </row>
    <row r="122">
      <c r="A122" s="3" t="inlineStr">
        <is>
          <t>BC-ACC-7461</t>
        </is>
      </c>
      <c r="B122" s="2" t="inlineStr">
        <is>
          <t>Barbecook BC-ACC-7461 rozsdamentes acél sütőrács, 43cm átmérő</t>
        </is>
      </c>
      <c r="C122" s="1" t="n">
        <v>14990.0</v>
      </c>
      <c r="D122" s="7" t="n">
        <f>HYPERLINK("https://www.somogyi.hu/product/barbecook-bc-acc-7461-rozsdamentes-acel-sutoracs-43cm-atmero-bc-acc-7461-18798","https://www.somogyi.hu/product/barbecook-bc-acc-7461-rozsdamentes-acel-sutoracs-43cm-atmero-bc-acc-7461-18798")</f>
        <v>0.0</v>
      </c>
      <c r="E122" s="7" t="n">
        <f>HYPERLINK("https://www.somogyi.hu/data/img/product_main_images/small/18798.jpg","https://www.somogyi.hu/data/img/product_main_images/small/18798.jpg")</f>
        <v>0.0</v>
      </c>
      <c r="F122" s="2" t="inlineStr">
        <is>
          <t>5404035701720</t>
        </is>
      </c>
      <c r="G122" s="4" t="inlineStr">
        <is>
          <t>Szeretné fokozni a szabadtéri élményt grilljével? A Barbecook BC-ACC-7461 rozsdamentes acél sütőrács az, amire szüksége van! 
Ez a prémium minőségű sütőrács kifejezetten a Barbecook Loewy 45 és Optima modellekhez, valamint minden velük kompatibilis faszenes grillhez lett tervezve, így garantálja az illeszkedést és a tökéletes használati élményt.
Bármilyen ételt (legyen az hús, zöldség vagy akár egy egész hal) könnyedén megsüthet segítségével. A 43cm átmérőjű rács bőséges helyet kínál az összetevőknek, miközben a rozsdamentes acél anyaga biztosítja a tartósságot és az egyszerű tisztíthatóságot. Többé nem kell aggódnia az ételek leragadása vagy a tisztítás nehézségei miatt.
Változtassa grillezési rutinját egy szinttel magasabb színvonalúvá a Barbecook BC-ACC-7461 sütőráccsal!</t>
        </is>
      </c>
    </row>
    <row r="123">
      <c r="A123" s="3" t="inlineStr">
        <is>
          <t>BC-ACC-7411</t>
        </is>
      </c>
      <c r="B123" s="2" t="inlineStr">
        <is>
          <t>Barbecook BC-ACC-7411 2db-os grill lap, 40cm átmérő</t>
        </is>
      </c>
      <c r="C123" s="1" t="n">
        <v>3690.0</v>
      </c>
      <c r="D123" s="7" t="n">
        <f>HYPERLINK("https://www.somogyi.hu/product/barbecook-bc-acc-7411-2db-os-grill-lap-40cm-atmero-bc-acc-7411-18828","https://www.somogyi.hu/product/barbecook-bc-acc-7411-2db-os-grill-lap-40cm-atmero-bc-acc-7411-18828")</f>
        <v>0.0</v>
      </c>
      <c r="E123" s="7" t="n">
        <f>HYPERLINK("https://www.somogyi.hu/data/img/product_main_images/small/18828.jpg","https://www.somogyi.hu/data/img/product_main_images/small/18828.jpg")</f>
        <v>0.0</v>
      </c>
      <c r="F123" s="2" t="inlineStr">
        <is>
          <t>5420059847893</t>
        </is>
      </c>
      <c r="G123" s="4" t="inlineStr">
        <is>
          <t>Gondolt már arra, hogy lehet legakadályozni grillezés közben, hogy a hús ne ragadjon a rácsra, és ne essen át rajta? A Barbecook BC-ACC-7411 grill lap pontosan ezt a problémát oldja meg, miközben tisztán is tartja a grillrácsot.
Ez a két darabos grill lap szett tökéletes kiegészítője minden grillpartinak. Mindössze 0,1 mm vastagságú, mégis rendkívül hatékonyan megakadályozza, hogy az ételek a rácsok közé csússzanak vagy hozzájuk ragadjanak. A 40 cm átmérőjű lapok minden standard grillre illeszkednek, és garantáltan tisztábban tartják a grillezési felületet.
A grill lapok használata egyszerű: csak helyezze őket a grillrácsra, és már készítheti is kedvenc ételeit, anélkül hogy aggódnia kellene amiatt, hogy az ételek átesnek a rácsokon vagy odaégnének. A grillezés után könnyen tisztíthatók, így készen állnak a következő használatra.
Válassza a Barbecook BC-ACC-7411 2db-os grill lapot, hogy a grillezés minden alkalommal zökkenőmentesen és tisztán menjen. Tegyen szert ezekre a praktikus kiegészítőkre, és élvezze a gondtalan grillezés minden előnyét!</t>
        </is>
      </c>
    </row>
    <row r="124">
      <c r="A124" s="3" t="inlineStr">
        <is>
          <t>BC-ACC-7438</t>
        </is>
      </c>
      <c r="B124" s="2" t="inlineStr">
        <is>
          <t>Barbecook BC-ACC-7438 2db-os grill lap, 32cm átmérő</t>
        </is>
      </c>
      <c r="C124" s="1" t="n">
        <v>4490.0</v>
      </c>
      <c r="D124" s="7" t="n">
        <f>HYPERLINK("https://www.somogyi.hu/product/barbecook-bc-acc-7438-2db-os-grill-lap-32cm-atmero-bc-acc-7438-18791","https://www.somogyi.hu/product/barbecook-bc-acc-7438-2db-os-grill-lap-32cm-atmero-bc-acc-7438-18791")</f>
        <v>0.0</v>
      </c>
      <c r="E124" s="7" t="n">
        <f>HYPERLINK("https://www.somogyi.hu/data/img/product_main_images/small/18791.jpg","https://www.somogyi.hu/data/img/product_main_images/small/18791.jpg")</f>
        <v>0.0</v>
      </c>
      <c r="F124" s="2" t="inlineStr">
        <is>
          <t>5420059859452</t>
        </is>
      </c>
      <c r="G124" s="4" t="inlineStr">
        <is>
          <t>Gondolt már arra, hogy lehet legakadályozni grillezés közben, hogy a hús ne ragadjon a rácsra, és ne essen át rajta? A Barbecook BC-ACC-7438 grill lap pontosan ezt a problémát oldja meg, miközben tisztán is tartja a grillrácsot.
Ez a két darabos grill lap szett tökéletes kiegészítője minden grillpartinak. Mindössze 0,22 mm vastagságú, mégis rendkívül hatékonyan megakadályozza, hogy az ételek a rácsok közé csússzanak vagy hozzájuk ragadjanak. A 32 cm átmérőjű lapok minden standard grillre illeszkednek, és garantáltan tisztábban tartják a grillezési felületet.
A grill lapok használata egyszerű: csak helyezze őket a grillrácsra, és már készítheti is kedvenc ételeit, anélkül hogy aggódnia kellene amiatt, hogy az ételek átesnek a rácsokon vagy odaégnének. A grillezés után könnyen tisztíthatók, így készen állnak a következő használatra.
Válassza a Barbecook BC-ACC-7438 2db-os grill lapot, hogy a grillezés minden alkalommal zökkenőmentesen és tisztán menjen. Tegyen szert ezekre a praktikus kiegészítőkre, és élvezze a gondtalan grillezés minden előnyét!</t>
        </is>
      </c>
    </row>
    <row r="125">
      <c r="A125" s="3" t="inlineStr">
        <is>
          <t>BC-ACC-7090</t>
        </is>
      </c>
      <c r="B125" s="2" t="inlineStr">
        <is>
          <t>Barbecook BC-ACC-7090 kolbászsütő grillrács, 8x51cm</t>
        </is>
      </c>
      <c r="C125" s="1" t="n">
        <v>3290.0</v>
      </c>
      <c r="D125" s="7" t="n">
        <f>HYPERLINK("https://www.somogyi.hu/product/barbecook-bc-acc-7090-kolbaszsuto-grillracs-8x51cm-bc-acc-7090-18788","https://www.somogyi.hu/product/barbecook-bc-acc-7090-kolbaszsuto-grillracs-8x51cm-bc-acc-7090-18788")</f>
        <v>0.0</v>
      </c>
      <c r="E125" s="7" t="n">
        <f>HYPERLINK("https://www.somogyi.hu/data/img/product_main_images/small/18788.jpg","https://www.somogyi.hu/data/img/product_main_images/small/18788.jpg")</f>
        <v>0.0</v>
      </c>
      <c r="F125" s="2" t="inlineStr">
        <is>
          <t>5400269240714</t>
        </is>
      </c>
      <c r="G125" s="4" t="inlineStr">
        <is>
          <t>Elege van a hagyományos grillrácsokból, mert soha nem sikerül a kolbászokat egyenletesen grillezni? A Barbecook BC-ACC-7090 kolbászsütő grillrácsot azok számára tervezték, akik szeretnének egyedi módon kolbászokat grillezni, anélkül, hogy azok a rácsok közé esnének vagy egyenetlenül sülnének meg.
Ez a speciális grillrács tökéletesen alkalmas négy kolbász egyidejű grillezésére, biztosítva, hogy minden egyes kolbász egyformán süljön meg, így tökéletes ízt és textúrát érhet el. A könnyen zárható rács kialakítása lehetővé teszi, hogy a kolbászok biztonságosan a helyükön maradjanak grillezés közben, megakadályozva, hogy a rácsok közé essenek.
A Barbecook BC-ACC-7090 nem csupán a kényelmet és az egyenletes sütési eredményt helyezi előtérbe, hanem a környezettudatosságot is. Az FSC®-minősítés biztosítja, hogy a termék gyártása során csak fenntartható forrásból származó faanyagokat használnak fel, tehát választásával Ön is hozzájárul a környezetvédelemhez.
Ez a kolbászsütő grillrács nem csak a grillezési élményt teszi egyszerűbbé és élvezetesebbé, de a takarítást is megkönnyíti, hiszen a zárható rácsnak köszönhetően kevesebb ételmaradék kerül közvetlenül a grillre, így az tisztántartása sokkal egyszerűbbé válik.
Fedezze fel a Barbecook BC-ACC-7090 kolbászsütő grillrács nyújtotta új lehetőségeket, és élvezze a tökéletesen megsült kolbászok ízét a következő grillezésnél!</t>
        </is>
      </c>
    </row>
    <row r="126">
      <c r="A126" s="3" t="inlineStr">
        <is>
          <t>10-238-016</t>
        </is>
      </c>
      <c r="B126" s="2" t="inlineStr">
        <is>
          <t>Nava 10-238-016 BBQ Guru grillrács húsokhoz, 35x25 cm</t>
        </is>
      </c>
      <c r="C126" s="1" t="n">
        <v>3390.0</v>
      </c>
      <c r="D126" s="7" t="n">
        <f>HYPERLINK("https://www.somogyi.hu/product/nava-10-238-016-bbq-guru-grillracs-husokhoz-35x25-cm-10-238-016-18671","https://www.somogyi.hu/product/nava-10-238-016-bbq-guru-grillracs-husokhoz-35x25-cm-10-238-016-18671")</f>
        <v>0.0</v>
      </c>
      <c r="E126" s="7" t="n">
        <f>HYPERLINK("https://www.somogyi.hu/data/img/product_main_images/small/18671.jpg","https://www.somogyi.hu/data/img/product_main_images/small/18671.jpg")</f>
        <v>0.0</v>
      </c>
      <c r="F126" s="2" t="inlineStr">
        <is>
          <t>5205746152739</t>
        </is>
      </c>
      <c r="G126" s="4" t="inlineStr">
        <is>
          <t>Szeretne egy megbízható társat a grillezéshez, ami minden igényt kielégít? A Nava 10-238-016 BBQ Guru grillrács húsokhoz, dupla fémrácsos grillező kosárral, valódi segítségére lesz a barbecue partik során. 
Ez a kiváló minőségű, rendkívül tartós fémből készült grillrács króm bevonattal rendelkezik a sérülésekkel szembeni védelem érdekében, és ergonomikus, hosszú fa nyéllel van ellátva, hogy kényelmes használatot biztosítson még a legigényesebb grillezők számára is.
35x25  cm-es felülete, rácsos keretével tökéletesen alkalmazkodik húsok és zöldségek grillezéséhez, ideális választás egyszerű és biztonságos sütéshez a grillen. Ez a magas minőségű grillrács azok számára elengedhetetlen, akik a legjobb eredményeket szeretnék elérni grillezés során. Az Európai élelmiszer-érintkezési szabályozásoknak megfelelően gyártva.
Néhány tipp, hogy sokáig és biztonságosan használhassa a terméket:
* Az első használat előtt mossa le langyos vízzel, mosogatószerrel és egy puha szivaccsal.
* Minden használat után speciális grillkefével tisztítsa meg, majd mossa le és szárítsa meg alaposan egy száraz ruhával.
* Grillezés során mindig a fa nyelénél fogva használja. Csak a nyelénél fogva vigye és kezelje.
* Mindig tartsa távol a gyermekektől.
A Nava BBQ Guru grillrács húsokhoz az, amire minden szenvedélyes grillezőnek szüksége van.</t>
        </is>
      </c>
    </row>
    <row r="127">
      <c r="A127" s="3" t="inlineStr">
        <is>
          <t>10-238-018</t>
        </is>
      </c>
      <c r="B127" s="2" t="inlineStr">
        <is>
          <t>Nava 10-238-018 BBQ Guru halsütő grillrács, 13x35 cm</t>
        </is>
      </c>
      <c r="C127" s="1" t="n">
        <v>2090.0</v>
      </c>
      <c r="D127" s="7" t="n">
        <f>HYPERLINK("https://www.somogyi.hu/product/nava-10-238-018-bbq-guru-halsuto-grillracs-13x35-cm-10-238-018-18672","https://www.somogyi.hu/product/nava-10-238-018-bbq-guru-halsuto-grillracs-13x35-cm-10-238-018-18672")</f>
        <v>0.0</v>
      </c>
      <c r="E127" s="7" t="n">
        <f>HYPERLINK("https://www.somogyi.hu/data/img/product_main_images/small/18672.jpg","https://www.somogyi.hu/data/img/product_main_images/small/18672.jpg")</f>
        <v>0.0</v>
      </c>
      <c r="F127" s="2" t="inlineStr">
        <is>
          <t>5205746152661</t>
        </is>
      </c>
      <c r="G127" s="4" t="inlineStr">
        <is>
          <t>Egy megoldást keres, amellyel egyszerűen és tökéletesen sütheti meg a halat a grillen? A Nava 10-238-018 BBQ Guru halsütő grillrács, dupla fémrácsos kialakítással, valódi segítségére lesz a BBQ alkalmak során. 
Ez a speciálisan tervezett grillrács, amely 13x35  cm-es felülettel és egyedi formával rendelkezik, tökéletesen illeszkedik a halak formájához, így biztosítva az egyszerű és biztonságos grillezést.
A tartós fémből készült, króm bevonattal ellátott grillrács károsodás elleni védelmet nyújt, míg az ergonomikus, hosszú fa nyél kényelmes használatot garantál még a legigényesebb grillezők számára is. Ez a magas minőségű grillrács elengedhetetlen eszköze minden olyan grillezőnek, aki a legjobb eredményeket szeretné elérni a grillen.
Néhány tipp, hogy sokáig és biztonságosan használhassa a terméket:
* Az első használat előtt mossa le langyos vízzel, mosogatószerrel és egy puha szivaccsal.
* Minden használat után speciális grillkefével tisztítsa meg, majd mossa le és szárítsa meg alaposan egy száraz ruhával.
* Grillezés során mindig a fa nyelénél fogva használja. Csak a nyelénél fogva vigye és kezelje.
* Mindig tartsa távol a gyermekektől.
A Nava BBQ Guru halsütő grillrács a tökéletes választás mindenki számára, aki szeretné profi szintre emelni a halgrillezés művészetét.</t>
        </is>
      </c>
    </row>
    <row r="128">
      <c r="A128" s="3" t="inlineStr">
        <is>
          <t>BC-ACC-7439</t>
        </is>
      </c>
      <c r="B128" s="2" t="inlineStr">
        <is>
          <t>Barbecook BC-ACC-7439 2db-os grill lap, 40x33cm</t>
        </is>
      </c>
      <c r="C128" s="1" t="n">
        <v>4490.0</v>
      </c>
      <c r="D128" s="7" t="n">
        <f>HYPERLINK("https://www.somogyi.hu/product/barbecook-bc-acc-7439-2db-os-grill-lap-40x33cm-bc-acc-7439-18792","https://www.somogyi.hu/product/barbecook-bc-acc-7439-2db-os-grill-lap-40x33cm-bc-acc-7439-18792")</f>
        <v>0.0</v>
      </c>
      <c r="E128" s="7" t="n">
        <f>HYPERLINK("https://www.somogyi.hu/data/img/product_main_images/small/18792.jpg","https://www.somogyi.hu/data/img/product_main_images/small/18792.jpg")</f>
        <v>0.0</v>
      </c>
      <c r="F128" s="2" t="inlineStr">
        <is>
          <t>5420059859469</t>
        </is>
      </c>
      <c r="G128" s="4" t="inlineStr">
        <is>
          <t>Gondolt már arra, hogy lehet legakadályozni grillezés közben, hogy a hús ne ragadjon a rácsra, és ne essen át rajta? A Barbecook BC-ACC-7439 grill lap pontosan ezt a problémát oldja meg, miközben tisztán is tartja a grillrácsot.
Ez a két darabos grill lap szett tökéletes kiegészítője minden grillpartinak. Mindössze 0,22 mm vastagságú, mégis rendkívül hatékonyan megakadályozza, hogy az ételek a rácsok közé csússzanak vagy hozzájuk ragadjanak. A 40x33cm-es lapok minden standard grillre illeszkednek, és garantáltan tisztábban tartják a grillezési felületet.
A grill lapok használata egyszerű: csak helyezze őket a grillrácsra, és már készítheti is kedvenc ételeit, anélkül hogy aggódnia kellene amiatt, hogy az ételek átesnek a rácsokon vagy odaégnének. A grillezés után könnyen tisztíthatók, így készen állnak a következő használatra.
Válassza a Barbecook BC-ACC-7439 2db-os grill lapot, hogy a grillezés minden alkalommal zökkenőmentesen és tisztán menjen. Tegyen szert ezekre a praktikus kiegészítőkre, és élvezze a gondtalan grillezés minden előnyét!</t>
        </is>
      </c>
    </row>
    <row r="129">
      <c r="A129" s="3" t="inlineStr">
        <is>
          <t>BC-ACC-7459</t>
        </is>
      </c>
      <c r="B129" s="2" t="inlineStr">
        <is>
          <t>Barbecook BC-ACC-7459 rozsdamentes acél sütőrács, 50cm átmérő</t>
        </is>
      </c>
      <c r="C129" s="1" t="n">
        <v>19690.0</v>
      </c>
      <c r="D129" s="7" t="n">
        <f>HYPERLINK("https://www.somogyi.hu/product/barbecook-bc-acc-7459-rozsdamentes-acel-sutoracs-50cm-atmero-bc-acc-7459-18796","https://www.somogyi.hu/product/barbecook-bc-acc-7459-rozsdamentes-acel-sutoracs-50cm-atmero-bc-acc-7459-18796")</f>
        <v>0.0</v>
      </c>
      <c r="E129" s="7" t="n">
        <f>HYPERLINK("https://www.somogyi.hu/data/img/product_main_images/small/18796.jpg","https://www.somogyi.hu/data/img/product_main_images/small/18796.jpg")</f>
        <v>0.0</v>
      </c>
      <c r="F129" s="2" t="inlineStr">
        <is>
          <t>5404035701683</t>
        </is>
      </c>
      <c r="G129" s="4" t="inlineStr">
        <is>
          <t>Szeretné fokozni a szabadtéri élményt grilljével? A Barbecook BC-ACC-7459 rozsdamentes acél sütőrács az, amire szüksége van! 
Ez a prémium minőségű sütőrács kifejezetten a Barbecook Loewy 50 és Major modellekhez, valamint minden velük kompatibilis faszenes grillhez lett tervezve, így garantálja az illeszkedést és a tökéletes használati élményt.
Bármilyen ételt (legyen az hús, zöldség vagy akár egy egész hal) könnyedén megsüthet segítségével. A 50cm átmérőjű rács bőséges helyet kínál az összetevőknek, miközben a rozsdamentes acél anyaga biztosítja a tartósságot és az egyszerű tisztíthatóságot. Többé nem kell aggódnia az ételek leragadása vagy a tisztítás nehézségei miatt.
Változtassa grillezési rutinját egy szinttel magasabb színvonalúvá a Barbecook BC-ACC-7459 sütőráccsal!</t>
        </is>
      </c>
    </row>
    <row r="130">
      <c r="A130" s="6" t="inlineStr">
        <is>
          <t xml:space="preserve">      Grillezés / Grill kiegészítő / Tisztítószerek és eszközök</t>
        </is>
      </c>
      <c r="B130" s="6" t="inlineStr">
        <is>
          <t/>
        </is>
      </c>
      <c r="C130" s="6" t="inlineStr">
        <is>
          <t/>
        </is>
      </c>
      <c r="D130" s="6" t="inlineStr">
        <is>
          <t/>
        </is>
      </c>
      <c r="E130" s="6" t="inlineStr">
        <is>
          <t/>
        </is>
      </c>
      <c r="F130" s="6" t="inlineStr">
        <is>
          <t/>
        </is>
      </c>
      <c r="G130" s="6" t="inlineStr">
        <is>
          <t/>
        </is>
      </c>
    </row>
    <row r="131">
      <c r="A131" s="3" t="inlineStr">
        <is>
          <t>BC-ACC-7067</t>
        </is>
      </c>
      <c r="B131" s="2" t="inlineStr">
        <is>
          <t>Barbecook BC-ACC-7067 hosszú spirálkefe, 52cm, fekete</t>
        </is>
      </c>
      <c r="C131" s="1" t="n">
        <v>4390.0</v>
      </c>
      <c r="D131" s="7" t="n">
        <f>HYPERLINK("https://www.somogyi.hu/product/barbecook-bc-acc-7067-hosszu-spiralkefe-52cm-fekete-bc-acc-7067-18738","https://www.somogyi.hu/product/barbecook-bc-acc-7067-hosszu-spiralkefe-52cm-fekete-bc-acc-7067-18738")</f>
        <v>0.0</v>
      </c>
      <c r="E131" s="7" t="n">
        <f>HYPERLINK("https://www.somogyi.hu/data/img/product_main_images/small/18738.jpg","https://www.somogyi.hu/data/img/product_main_images/small/18738.jpg")</f>
        <v>0.0</v>
      </c>
      <c r="F131" s="2" t="inlineStr">
        <is>
          <t>5400269231583</t>
        </is>
      </c>
      <c r="G131" s="4" t="inlineStr">
        <is>
          <t>Ön is meg szokott küzdeni grillsütője nehezen elérhető részeinek tisztításával? A Barbecook BC-ACC-7067 hosszú spirálkefe a tökéletes segítőtársa lehet ebben a feladatban, amelynek segítségével még a legnehezebben hozzáférhető helyek sem jelentenek többé problémát.
Ez a különleges tisztítóeszköz kifejezetten a grillsütők mélyen fekvő részeinek tisztítására lett tervezve. A hosszú nyéllel ellátott spirálkefe lehetővé teszi, hogy elérje a grillsütő minden zugát, így garantálva a sütő teljes körű tisztaságát. A 52x17x3cm-es méret biztosítja, hogy minden felületet alaposan meg tudjon tisztítani.
A kefe kialakítása optimalizálja a tisztítási erőfeszítéseket, így kevesebb időt kell töltenie a takarítással, és többet élvezheti a grillezés örömeit. A Barbecook BC-ACC-7067 nemcsak hatékony, de tartós is, így hosszú távon számíthat rá a grill karbantartásában.
Váltson a Barbecook BC-ACC-7067 hosszú spirálkefére, és tegye a grillsütő tisztítását egyszerűbbé és hatékonyabbá.</t>
        </is>
      </c>
    </row>
    <row r="132">
      <c r="A132" s="3" t="inlineStr">
        <is>
          <t>BC-ACC-7074</t>
        </is>
      </c>
      <c r="B132" s="2" t="inlineStr">
        <is>
          <t>Barbecook BC-ACC-7074 rézszálas fa grillkefe rozsdamentes acél kaparóval, 100% FSC, 31cm</t>
        </is>
      </c>
      <c r="C132" s="1" t="n">
        <v>3490.0</v>
      </c>
      <c r="D132" s="7" t="n">
        <f>HYPERLINK("https://www.somogyi.hu/product/barbecook-bc-acc-7074-rezszalas-fa-grillkefe-rozsdamentes-acel-kaparoval-100-fsc-31cm-bc-acc-7074-18729","https://www.somogyi.hu/product/barbecook-bc-acc-7074-rezszalas-fa-grillkefe-rozsdamentes-acel-kaparoval-100-fsc-31cm-bc-acc-7074-18729")</f>
        <v>0.0</v>
      </c>
      <c r="E132" s="7" t="n">
        <f>HYPERLINK("https://www.somogyi.hu/data/img/product_main_images/small/18729.jpg","https://www.somogyi.hu/data/img/product_main_images/small/18729.jpg")</f>
        <v>0.0</v>
      </c>
      <c r="F132" s="2" t="inlineStr">
        <is>
          <t>5400269240622</t>
        </is>
      </c>
      <c r="G132" s="4" t="inlineStr">
        <is>
          <t>Hogyan tarthatja grillrácsát makulátlanul tisztán a grillezési szezonban? A Barbecook BC-ACC-7074 rézszálas fa grillkefe a titok, amely a legmakacsabb szennyeződésekkel is megbirkózik, miközben óvja a grillrácsot.
Ez a kivételes minőségű grillkefe kombinálja a réz szálak tisztító hatékonyságát a rozsdamentes acél kaparó tartósságával, így biztosítva, hogy a grillrácsa minden használat után tökéletesen tiszta legyen. A gumifából készült fogantyú nemcsak, hogy kényelmes fogást biztosít, de FSC® címkével is ellátott, amely garantálja, hogy a termék fenntartható forrásból származik.
31cm hosszúságának köszönhetően a kefe ideális méretű a hatékony és kényelmes tisztításhoz, miközben a rozsdamentes acél kaparó lehetővé teszi, hogy még a legnehezebben eltávolítható maradványokat is könnyedén megszüntesse.
Használja a Barbecook BC-ACC-7074 rézszálas fa grillkefét rozsdamentes acél kaparóval, és biztosítsa grillrácsa hosszantartó tisztaságát és higiéniáját.</t>
        </is>
      </c>
    </row>
    <row r="133">
      <c r="A133" s="3" t="inlineStr">
        <is>
          <t>BC-ACC-7065</t>
        </is>
      </c>
      <c r="B133" s="2" t="inlineStr">
        <is>
          <t>Barbecook BC-ACC-7065 3az1-ben nyeles grillrács tisztító, fekete</t>
        </is>
      </c>
      <c r="C133" s="1" t="n">
        <v>3190.0</v>
      </c>
      <c r="D133" s="7" t="n">
        <f>HYPERLINK("https://www.somogyi.hu/product/barbecook-bc-acc-7065-3az1-ben-nyeles-grillracs-tisztito-fekete-bc-acc-7065-18775","https://www.somogyi.hu/product/barbecook-bc-acc-7065-3az1-ben-nyeles-grillracs-tisztito-fekete-bc-acc-7065-18775")</f>
        <v>0.0</v>
      </c>
      <c r="E133" s="7" t="n">
        <f>HYPERLINK("https://www.somogyi.hu/data/img/product_main_images/small/18775.jpg","https://www.somogyi.hu/data/img/product_main_images/small/18775.jpg")</f>
        <v>0.0</v>
      </c>
      <c r="F133" s="2" t="inlineStr">
        <is>
          <t>5400269231576</t>
        </is>
      </c>
      <c r="G133" s="4" t="inlineStr">
        <is>
          <t>Szeretné egyszerűsíteni a grillrácsok tisztítását anélkül, hogy kompromisszumot kellene kötnie a hatékonyságban? A Barbecook BC-ACC-7065 3az1-ben nyeles grillrács tisztító az ideális eszköz, amely három fontos funkciót ötvöz egyetlen kényelmesen használható eszközben, így a grillrácsok tisztítása gyorsabb és alaposabb lesz, mint valaha.
Ez a különleges grillrács tisztító kefe, súroló és kaparó funkcióval rendelkezik, ami lehetővé teszi, hogy minden típusú szennyeződést eltávolítson a grillrácsról, a laza maradványoktól kezdve az odaégett ételmaradékokig. A hosszú nyéllel kialakított eszköz extra kényelmet és biztonságot nyújt használat közben.
Fekete színének köszönhetően elegáns megjelenést kölcsönöz, míg kompakt méreteivel – 3,5x2x42cm – biztosítja, hogy könnyen tárolható és szükség esetén mindig kéznél legyen.
Fedezze fel, milyen egyszerű lehet a grillrácsok tisztítása a Barbecook BC-ACC-7065 3az1-ben nyeles grillrács tisztítóval.</t>
        </is>
      </c>
    </row>
    <row r="134">
      <c r="A134" s="3" t="inlineStr">
        <is>
          <t>BC-ACC-7210</t>
        </is>
      </c>
      <c r="B134" s="2" t="inlineStr">
        <is>
          <t>Barbecook BC-ACC-7210 grilltisztító spray, 500ml</t>
        </is>
      </c>
      <c r="C134" s="1" t="n">
        <v>8390.0</v>
      </c>
      <c r="D134" s="7" t="n">
        <f>HYPERLINK("https://www.somogyi.hu/product/barbecook-bc-acc-7210-grilltisztito-spray-500ml-bc-acc-7210-18818","https://www.somogyi.hu/product/barbecook-bc-acc-7210-grilltisztito-spray-500ml-bc-acc-7210-18818")</f>
        <v>0.0</v>
      </c>
      <c r="E134" s="7" t="n">
        <f>HYPERLINK("https://www.somogyi.hu/data/img/product_main_images/small/18818.jpg","https://www.somogyi.hu/data/img/product_main_images/small/18818.jpg")</f>
        <v>0.0</v>
      </c>
      <c r="F134" s="2" t="inlineStr">
        <is>
          <t>5420059864951</t>
        </is>
      </c>
      <c r="G134" s="4" t="inlineStr">
        <is>
          <t>Éppen most fejezte be a grillezést? Itt az ideje, hogy áttérjen a Barbecook eszközének tisztítására! 
Egy alapos karbantartás elengedhetetlen ahhoz, hogy grillje sokáig megőrizze kiváló állapotát. E célból használja a Barbecook BC-ACC-7210 grilltisztító spray-t, ami rendkívül hatékony a főzőrácsra tapadt vagy égett zsír eltávolításában. Vigyen fel a tisztítandó felületre a tisztítószerből, majd egy szivacs segítségével távolítsa el a zsíros szennyeződést. A spray praktikus adagolóval van ellátva, így használata rendkívül egyszerű. További előnye, hogy használható a grillezés során használt kiegészítők tisztítására is.
Fordítson időt a grill és grill eszközei karbantartására, hogy azok sokáig szolgálhassák Önt eredeti állapotukban. Használja a Barbecook BC-ACC-7210 grilltisztító spray-t, hogy időt és fáradtságot takaríthasson meg.</t>
        </is>
      </c>
    </row>
    <row r="135">
      <c r="A135" s="3" t="inlineStr">
        <is>
          <t>GRT04</t>
        </is>
      </c>
      <c r="B135" s="2" t="inlineStr">
        <is>
          <t>Home GRT04 grillkefe, hosszú nyelű, kemény szivacs, fémsörtés kefe, rozsdamentes kaparófej</t>
        </is>
      </c>
      <c r="C135" s="1" t="n">
        <v>1490.0</v>
      </c>
      <c r="D135" s="7" t="n">
        <f>HYPERLINK("https://www.somogyi.hu/product/home-grt04-grillkefe-hosszu-nyelu-kemeny-szivacs-femsortes-kefe-rozsdamentes-kaparofej-grt04-19074","https://www.somogyi.hu/product/home-grt04-grillkefe-hosszu-nyelu-kemeny-szivacs-femsortes-kefe-rozsdamentes-kaparofej-grt04-19074")</f>
        <v>0.0</v>
      </c>
      <c r="E135" s="7" t="n">
        <f>HYPERLINK("https://www.somogyi.hu/data/img/product_main_images/small/19074.jpg","https://www.somogyi.hu/data/img/product_main_images/small/19074.jpg")</f>
        <v>0.0</v>
      </c>
      <c r="F135" s="2" t="inlineStr">
        <is>
          <t>5999084970673</t>
        </is>
      </c>
      <c r="G135" s="4" t="inlineStr">
        <is>
          <t>Hogyan tisztítható hatékonyan és gyorsan a grillrács, anélkül hogy megsérülne? 
A Home GRT04 grillkefe tökéletes választás mindazok számára, akik szeretik a grillezést tisztán és higiénikusan kezdeni – vagy épp lezárni. Ez a háromfunkciós kefe hosszú nyelével, erős szivacsos részével, fémsörtéivel és rozsdamentes kaparófejével minden szennyeződést eltávolít a rácsokról, legyen szó makacs zsírról, lerakódott koromról vagy rászáradt ételmaradékról.
Többfunkciós fej – alapos tisztítás minden felületen
A kemény szivacsréteg kíméletes, mégis hatékony módja a felületek áttörlésének, miközben a fémsörtés kefe gondoskodik a lerakódások fellazításáról és eltávolításáról. A kefe végén található rozsdamentes kaparófej pedig célzottan távolítja el az odaégett maradványokat, akár a rácsok közül is. A különböző tisztítóelemek egymást kiegészítve segítik a grillező felület tökéletes tisztaságának elérését.
Hosszú nyél a biztonságos használatért
A 37,5 cm hosszú nyél nemcsak kényelmes fogást biztosít, hanem lehetővé teszi, hogy kellő távolságból dolgozzon még forró grill esetén is. Ez különösen fontos a biztonságos használat szempontjából, hiszen csökkenti az égési sérülések esélyét, miközben nem kell kompromisszumot kötni a hatékonyság terén.
Tartós, megbízható kivitel
A rozsdamentes acél kaparófej hosszú élettartamot biztosít, még gyakori használat mellett is. A Home GRT04 grillkefe kialakítása masszív és strapabíró, így megbízható társa lesz minden grillezés előtt és után. A kemény szivacs nem morzsolódik, a sörték nem hullanak ki, és az egész eszköz könnyedén tisztán tartható.
Miért érdemes a Home GRT04 grillkefét választani?
- Háromfunkciós fej: szivacs, fémsörte és kaparó egyben
- Rozsdamentes kaparófej a makacs szennyeződésekhez
- Extra hosszú nyél a biztonságos, kényelmes használathoz
- Masszív, időtálló kialakítás
- Ideális minden típusú grillrács tisztításához
Tegye a grillezést még élvezetesebbé azzal, hogy minden alkalommal ragyogóan tiszta eszközök várják! Válassza a Home GRT04 grillkefét, és kezdje a sütést kompromisszumok nélkül!</t>
        </is>
      </c>
    </row>
    <row r="136">
      <c r="A136" s="3" t="inlineStr">
        <is>
          <t>BC-ACC-7058</t>
        </is>
      </c>
      <c r="B136" s="2" t="inlineStr">
        <is>
          <t>Barbecook BC-ACC-7058 műanyag tisztító kefe, fekete</t>
        </is>
      </c>
      <c r="C136" s="1" t="n">
        <v>2090.0</v>
      </c>
      <c r="D136" s="7" t="n">
        <f>HYPERLINK("https://www.somogyi.hu/product/barbecook-bc-acc-7058-muanyag-tisztito-kefe-fekete-bc-acc-7058-18728","https://www.somogyi.hu/product/barbecook-bc-acc-7058-muanyag-tisztito-kefe-fekete-bc-acc-7058-18728")</f>
        <v>0.0</v>
      </c>
      <c r="E136" s="7" t="n">
        <f>HYPERLINK("https://www.somogyi.hu/data/img/product_main_images/small/18728.jpg","https://www.somogyi.hu/data/img/product_main_images/small/18728.jpg")</f>
        <v>0.0</v>
      </c>
      <c r="F136" s="2" t="inlineStr">
        <is>
          <t>5400269213114</t>
        </is>
      </c>
      <c r="G136" s="4" t="inlineStr">
        <is>
          <t>Hatékonyan, de gyorsan szeretné grillrácsát megtisztítani a szennyeződésektől? A Barbecook BC-ACC-7058 műanyag tisztító kefe a megoldás, amely egyszerűvé teszi a sütőrácsok tisztítását, így több ideje marad a grillezés élvezetére.
Ez a kiváló minőségű tisztítókefe nylonból készült tisztítórészével hatékonyan távolítja el az égett maradványokat és a zsírt, miközben az ergonomikus műanyag fogantyú kényelmes és biztos fogást nyújt. A kefe design-ja kifejezetten a grillrácsok formájához és szükségleteihez igazodik, lehetővé téve az alapos és gyors tisztítást.
A Barbecook BC-ACC-7058 műanyag tisztító kefe tökéletes választás mindenki számára, aki szereti a tiszta és karbantartott grillrácsokat, de nem szeretne órákat tölteni a tisztítással. Könnyen tisztítható és tartós anyagból készült, így hosszú távon is megbízható társa lesz a grillezési szezonok során.
Váltson a Barbecook BC-ACC-7058 műanyag tisztító kefére, és élvezze a gyors és erőfeszítés nélküli tisztítást minden egyes grillezés után.</t>
        </is>
      </c>
    </row>
    <row r="137">
      <c r="A137" s="3" t="inlineStr">
        <is>
          <t>BC-ACC-7063</t>
        </is>
      </c>
      <c r="B137" s="2" t="inlineStr">
        <is>
          <t>Barbecook BC-ACC-7063 kétfejű grillkefe, réz fej, gumifa markolat</t>
        </is>
      </c>
      <c r="C137" s="1" t="n">
        <v>2790.0</v>
      </c>
      <c r="D137" s="7" t="n">
        <f>HYPERLINK("https://www.somogyi.hu/product/barbecook-bc-acc-7063-ketfeju-grillkefe-rez-fej-gumifa-markolat-bc-acc-7063-18727","https://www.somogyi.hu/product/barbecook-bc-acc-7063-ketfeju-grillkefe-rez-fej-gumifa-markolat-bc-acc-7063-18727")</f>
        <v>0.0</v>
      </c>
      <c r="E137" s="7" t="n">
        <f>HYPERLINK("https://www.somogyi.hu/data/img/product_main_images/small/18727.jpg","https://www.somogyi.hu/data/img/product_main_images/small/18727.jpg")</f>
        <v>0.0</v>
      </c>
      <c r="F137" s="2" t="inlineStr">
        <is>
          <t>5400269240578</t>
        </is>
      </c>
      <c r="G137" s="4" t="inlineStr">
        <is>
          <t>Zavarják a grillrácsra ragadt makacs szennyeződések? A Barbecook BC-ACC-7063 kétfejű grillkefe a tökéletes megoldás a grillrácsok gyors és hatékony tisztítására, így Ön több időt tölthet a grillezés élvezetével, és kevesebbet a takarítással.
Ez a speciális grillkefe két fejjel rendelkezik amelyek rézből készültek, és FSC® címkével ellátott gumifából készült nyélhez csatlakoznak, így kettős hatékonyságot nyújtva a grillrácsok tisztításában. A rézfej kiválóan alkalmas az odaégett maradványok eltávolítására anélkül, hogy károsítaná azokat.
A kefe méretei – 4,5x2x23cm – kompakt és könnyen kezelhető, biztosítva, hogy minden sarkot elérjen a tisztítás során. A kényelmes fogantyú tovább növeli a használati élményt, lehetővé téve a stabil és erőfeszítés nélküli tisztítást.
Szabaduljon meg gyorsan és hatékonyan a grillrácsokon lévő szennyeződésektől a Barbecook BC-ACC-7063 kétfejű grillkefével.</t>
        </is>
      </c>
    </row>
    <row r="138">
      <c r="A138" s="3" t="inlineStr">
        <is>
          <t>BC-ACC-7410</t>
        </is>
      </c>
      <c r="B138" s="2" t="inlineStr">
        <is>
          <t>Barbecook BC-ACC-7410 ápoló olaj, bambusz és fa termékekhez, 200ml</t>
        </is>
      </c>
      <c r="C138" s="1" t="n">
        <v>5790.0</v>
      </c>
      <c r="D138" s="7" t="n">
        <f>HYPERLINK("https://www.somogyi.hu/product/barbecook-bc-acc-7410-apolo-olaj-bambusz-es-fa-termekekhez-200ml-bc-acc-7410-18827","https://www.somogyi.hu/product/barbecook-bc-acc-7410-apolo-olaj-bambusz-es-fa-termekekhez-200ml-bc-acc-7410-18827")</f>
        <v>0.0</v>
      </c>
      <c r="E138" s="7" t="n">
        <f>HYPERLINK("https://www.somogyi.hu/data/img/product_main_images/small/18827.jpg","https://www.somogyi.hu/data/img/product_main_images/small/18827.jpg")</f>
        <v>0.0</v>
      </c>
      <c r="F138" s="2" t="inlineStr">
        <is>
          <t>5420059846407</t>
        </is>
      </c>
      <c r="G138" s="4" t="inlineStr">
        <is>
          <t>Megoldást keres, hogy bambuszból vagy egyéb fából készült vágódeszkái hosszú ideig megőrizzék szépségüket? A Barbecook BC-ACC-7410 ápoló olaj pontosan erre lett tervezve, hogy megvédje a bambuszt és a fát a kiszáradástól és a repedezéstől.
Ez a speciális, 200 ml-es ápoló olaj kifejezetten bambusz és fa felületek ápolására lett kifejlesztve. Szagtalan, íztelen és színtelen formula garantálja, hogy vágódeszkái természetes szépségét semmi sem zavarja meg. A Barbecook ápoló olaj rendszeres használata megakadályozza a kiszáradást és a repedezést, így hosszabb élettartamot biztosít a fának.
Alkalmazása egyszerű és gyors: csak vigyen fel egy vékony réteget a tisztított és száraz bambusz vagy fa felületre, majd hagyja megszáradni. Az olaj mélyen beszívódik, táplálja a fát és védőréteget képez a káros környezeti hatásokkal szemben.
Ne hagyja, hogy a bambusz vagy fa termékei károsodjanak! Használja a Barbecook BC-ACC-7410 ápoló olajat rendszeresen, és élvezze a hosszantartó szépséget.</t>
        </is>
      </c>
    </row>
    <row r="139">
      <c r="A139" s="3" t="inlineStr">
        <is>
          <t>BC-ACC-7027</t>
        </is>
      </c>
      <c r="B139" s="2" t="inlineStr">
        <is>
          <t>Barbecook BC-ACC-7027 army stílusú kétfunkciós tisztítókefe, rozsdamentes acél, khaki zöld nyél</t>
        </is>
      </c>
      <c r="C139" s="1" t="n">
        <v>6590.0</v>
      </c>
      <c r="D139" s="7" t="n">
        <f>HYPERLINK("https://www.somogyi.hu/product/barbecook-bc-acc-7027-army-stilusu-ketfunkcios-tisztitokefe-rozsdamentes-acel-khaki-zold-nyel-bc-acc-7027-18822","https://www.somogyi.hu/product/barbecook-bc-acc-7027-army-stilusu-ketfunkcios-tisztitokefe-rozsdamentes-acel-khaki-zold-nyel-bc-acc-7027-18822")</f>
        <v>0.0</v>
      </c>
      <c r="E139" s="7" t="n">
        <f>HYPERLINK("https://www.somogyi.hu/data/img/product_main_images/small/18822.jpg","https://www.somogyi.hu/data/img/product_main_images/small/18822.jpg")</f>
        <v>0.0</v>
      </c>
      <c r="F139" s="2" t="inlineStr">
        <is>
          <t>5400269202927</t>
        </is>
      </c>
      <c r="G139" s="4" t="inlineStr">
        <is>
          <t>Keresi a tökéletes eszközt, ami megbirkózik a grillezés utáni legnehezebb feladattal, a tisztítással? A Barbecook BC-ACC-7027 army stílusú kétfunkciós tisztítókefe a grillrácsok tisztításának mestere, mely egyedülálló katonai stílusban és praktikus kialakításban érkezik.
A khaki zöld fogantyú nemcsak kényelmes fogást biztosít, hanem egyedi megjelenést is kölcsönöz az eszköznek. A kétfunkciós tisztítókefe - amely egyesíti a súroló és kaparó funkciókat - hatékonyan távolítja el az odaégett maradványokat és zsírt a grillrácsról, így a grillt gyorsan és alaposan visszaállíthatja eredeti állapotába. A rozsdamentes acélból készült tisztítófej garantálja a hosszú távú tartósságot, míg a könnyen tisztítható design biztosítja, hogy a kefe mindig készen álljon a következő használatra.
A termék méretei – 6x3x38cm – ideálisak ahhoz, hogy minden zugot elérjen a grillen, anélkül, hogy kompromisszumot kellene kötnie a kényelem terén.
Válassza a Barbecook BC-ACC-7027 army stílusú kétfunkciós tisztítókefét, és tartsa grilljét makulátlan állapotban könnyedén és hatékonyan.</t>
        </is>
      </c>
    </row>
    <row r="140">
      <c r="A140" s="6" t="inlineStr">
        <is>
          <t xml:space="preserve">      Grillezés / Grill kiegészítő / Füstölő eszközök</t>
        </is>
      </c>
      <c r="B140" s="6" t="inlineStr">
        <is>
          <t/>
        </is>
      </c>
      <c r="C140" s="6" t="inlineStr">
        <is>
          <t/>
        </is>
      </c>
      <c r="D140" s="6" t="inlineStr">
        <is>
          <t/>
        </is>
      </c>
      <c r="E140" s="6" t="inlineStr">
        <is>
          <t/>
        </is>
      </c>
      <c r="F140" s="6" t="inlineStr">
        <is>
          <t/>
        </is>
      </c>
      <c r="G140" s="6" t="inlineStr">
        <is>
          <t/>
        </is>
      </c>
    </row>
    <row r="141">
      <c r="A141" s="3" t="inlineStr">
        <is>
          <t>BC-SMO-5021</t>
        </is>
      </c>
      <c r="B141" s="2" t="inlineStr">
        <is>
          <t>Barbecook BC-SMO-5021 hidegfüst generátor, hidegfüstöléshez, 18x18x5cm</t>
        </is>
      </c>
      <c r="C141" s="1" t="n">
        <v>13390.0</v>
      </c>
      <c r="D141" s="7" t="n">
        <f>HYPERLINK("https://www.somogyi.hu/product/barbecook-bc-smo-5021-hidegfust-generator-hidegfustoleshez-18x18x5cm-bc-smo-5021-18773","https://www.somogyi.hu/product/barbecook-bc-smo-5021-hidegfust-generator-hidegfustoleshez-18x18x5cm-bc-smo-5021-18773")</f>
        <v>0.0</v>
      </c>
      <c r="E141" s="7" t="n">
        <f>HYPERLINK("https://www.somogyi.hu/data/img/product_main_images/small/18773.jpg","https://www.somogyi.hu/data/img/product_main_images/small/18773.jpg")</f>
        <v>0.0</v>
      </c>
      <c r="F141" s="2" t="inlineStr">
        <is>
          <t>5420059846643</t>
        </is>
      </c>
      <c r="G141" s="4" t="inlineStr">
        <is>
          <t>Szeretne különleges ízeket varázsolni a konyhájába? Fedezze fel a Barbecook BC-SMO-5021 hidegfüst generátor által kínált végtelen lehetőségeket, amely a finom füstölt ízek mestere. 
Ez az eszköz kifejezetten azok számára készült, akik szeretnék otthonukban is elkészíteni a professzionális füstölt ételeket, mint például a lazacot, a tenger gyümölcseit vagy akár a marha- és sertéshúst. A hidegfüstölési technikával, amely 20-25°C közötti hőmérsékleten történik, ez a generátor akár 13 órán át képes füstölni, biztosítva ezzel, hogy ételei mélyen átvegyék a füst ízét anélkül, hogy elveszítenék nedvességtartalmukat vagy állagukat. Az 18x18x5 cm méretű generátor tökéletes méret, könnyen feltölthető, és kiválóan használható a Barbecook BC-SMO-5017 Oskar S zománcozott füstölővel együtt, maximális ízélményt garantálva.
Készítsen lenyűgöző ízekkel teli ételeket a Barbecook BC-SMO-5021 hidegfüst generátorral, amely új dimenzióba helyezi a húsfüstölést és a füstölt ételek készítését.</t>
        </is>
      </c>
    </row>
    <row r="142">
      <c r="A142" s="3" t="inlineStr">
        <is>
          <t>BC-SMO-5013</t>
        </is>
      </c>
      <c r="B142" s="2" t="inlineStr">
        <is>
          <t>Barbecook BC-SMO-5013 2db-os égerfa füstölő szett, 30x14x0,4cm</t>
        </is>
      </c>
      <c r="C142" s="1" t="n">
        <v>8090.0</v>
      </c>
      <c r="D142" s="7" t="n">
        <f>HYPERLINK("https://www.somogyi.hu/product/barbecook-bc-smo-5013-2db-os-egerfa-fustolo-szett-30x14x0-4cm-bc-smo-5013-18844","https://www.somogyi.hu/product/barbecook-bc-smo-5013-2db-os-egerfa-fustolo-szett-30x14x0-4cm-bc-smo-5013-18844")</f>
        <v>0.0</v>
      </c>
      <c r="E142" s="7" t="n">
        <f>HYPERLINK("https://www.somogyi.hu/data/img/product_main_images/small/18844.jpg","https://www.somogyi.hu/data/img/product_main_images/small/18844.jpg")</f>
        <v>0.0</v>
      </c>
      <c r="F142" s="2" t="inlineStr">
        <is>
          <t>5400269209476</t>
        </is>
      </c>
      <c r="G142" s="4" t="inlineStr">
        <is>
          <t>Készen áll egy új szintre emelni a grillezési élményt? Fedezze fel a Barbecook BC-SMO-5013 2db-os égerfa füstölő szettet, amely az enyhe, de karakteres füstös ízt varázsolja ételeinek.
Legyen szó lazacról, tenger gyümölcseiről, marha- vagy sertéshúsról, ez a készlet garantáltan gazdagítja a grillezett fogások ízvilágát.
A Barbecook égerfa füstölő deszkái kiválóan alkalmasak arra, hogy a grillezés során egyedi, finom füstös ízt adjanak a húsnak és tengeri herkentyűknek egyaránt. Az égerfa különlegessége, hogy enyhe, de jól érzékelhető füstaromát kölcsönöz, amely nem nyomja el az alapanyagok természetes ízét, hanem harmonikusan kiegészíti azt.
A szett tartalma két darab, minőségi égerfa deszka, melyek méretei ideálisak a különböző ételek füstöléséhez. Minden deszka mérete 30x14x0,4 cm, tökéletes méret a legtöbb grillrácsra illeszkedve. Használata rendkívül egyszerű: csak áztassa be a deszkákat vízben néhány órára, majd helyezze őket a grillre az előkészített étellel együtt. A deszkák lassan és egyenletesen bocsátják ki a füstöt, így az étel teljes sütési ideje alatt ízesíti azokat.
Az égerfa füstölő deszkák használata nem csak a húsok és tengeri finomságok ízét teszi felejthetetlenné, hanem egy új szintre emeli a grillezési élményt is. Legyen Ön a következő kerti partik mesterszakácsa, és kápráztassa el vendégeit az égerfa füstölő deszkák segítségével készült ízletes, füstölt fogásokkal.
Tegyen egy próbát a Barbecook BC-SMO-5013 2db-os égerfa füstölő szettel, és fedezze fel, milyen könnyű lenyűgöző ízeket varázsolni a szabadban.</t>
        </is>
      </c>
    </row>
    <row r="143">
      <c r="A143" s="3" t="inlineStr">
        <is>
          <t>BC-SMO-7422</t>
        </is>
      </c>
      <c r="B143" s="2" t="inlineStr">
        <is>
          <t>Barbecook BC-SMO-7422 hidegfüst generátor induló szett</t>
        </is>
      </c>
      <c r="C143" s="1" t="n">
        <v>15990.0</v>
      </c>
      <c r="D143" s="7" t="n">
        <f>HYPERLINK("https://www.somogyi.hu/product/barbecook-bc-smo-7422-hidegfust-generator-indulo-szett-bc-smo-7422-18784","https://www.somogyi.hu/product/barbecook-bc-smo-7422-hidegfust-generator-indulo-szett-bc-smo-7422-18784")</f>
        <v>0.0</v>
      </c>
      <c r="E143" s="7" t="n">
        <f>HYPERLINK("https://www.somogyi.hu/data/img/product_main_images/small/18784.jpg","https://www.somogyi.hu/data/img/product_main_images/small/18784.jpg")</f>
        <v>0.0</v>
      </c>
      <c r="F143" s="2" t="inlineStr">
        <is>
          <t>5420059857298</t>
        </is>
      </c>
      <c r="G143" s="4" t="inlineStr">
        <is>
          <t>Szeretne különleges ízekkel kísérletezni otthoni grillezés során? A Barbecook BC-SMO-7422 hidegfüst generátor induló szettjével most könnyedén elhozhatja a finom füstölt ízeket közvetlenül az otthoni konyhájában vagy a kertjében. 
Ez az induló szett minden szükséges eszközt és hozzávalót tartalmaz, hogy bárki képes legyen hidegfüstölési technikát alkalmazni, akár profiként.
A szett tartalmaz egy hidegfüst generátort és három különböző típusú füstölőport: olíva, whisky, és tölgy, amelyek mindegyike különleges és egyedi ízt kölcsönöz az ételeknek. Akár lazacot, sajtot, húst vagy zöldségeket szeretne füstölni, ezekkel az ízekkel biztosan emlékezetes ételeket készíthet. A készlet egy recepteket tartalmazó füzetet is magában foglal, amely segít az első lépésektől kezdve a haladó technikákig eljutni a hidegfüstölés világában.
A szett tökéletesen kompatibilis a Barbecook BC-SMO-5017 Oskar S zománcozott füstölővel.
Tegye a grillezést izgalmasabbá a Barbecook BC-SMO-7422 hidegfüst generátor induló szettel, és fedezze fel az otthoni füstölés örömeit.</t>
        </is>
      </c>
    </row>
    <row r="144">
      <c r="A144" s="3" t="inlineStr">
        <is>
          <t>BC-SMO-5019</t>
        </is>
      </c>
      <c r="B144" s="2" t="inlineStr">
        <is>
          <t>Barbecook BC-SMO-5019 füstölő doboz</t>
        </is>
      </c>
      <c r="C144" s="1" t="n">
        <v>12990.0</v>
      </c>
      <c r="D144" s="7" t="n">
        <f>HYPERLINK("https://www.somogyi.hu/product/barbecook-bc-smo-5019-fustolo-doboz-bc-smo-5019-18845","https://www.somogyi.hu/product/barbecook-bc-smo-5019-fustolo-doboz-bc-smo-5019-18845")</f>
        <v>0.0</v>
      </c>
      <c r="E144" s="7" t="n">
        <f>HYPERLINK("https://www.somogyi.hu/data/img/product_main_images/small/18845.jpg","https://www.somogyi.hu/data/img/product_main_images/small/18845.jpg")</f>
        <v>0.0</v>
      </c>
      <c r="F144" s="2" t="inlineStr">
        <is>
          <t>5400269240509</t>
        </is>
      </c>
      <c r="G144" s="4" t="inlineStr">
        <is>
          <t>Szereti a füstölt ízeket, de még nem szeretne egy komplett füstölőbe beruházni? Akkor a Barbecook BC-SMO-5019 füstölő doboz pontosan Önnek való! 
A füstölő doboz egy fém, téglalap alakú tároló amelynek fedelén több lyuk található. A dobozt füstölő chipsekkel töltheti meg, és a grillsütőjébe helyezheti. A füst ízének körforgása révén igazi ízbombákat készíthet!
Hogyan működik? A füstölő dobozt olyan grillsütővel használjuk együtt, amelynek fedele van. A fedél biztosítja, hogy a füst ne szökjön el, hanem a grillsütő belsejében keringjen, és füstös ízt kölcsönözzön az ételeknek. Ezt indirekt grillezési technikával érik el. Hogyan működik pontosan? Először is válassza ki, milyen füst ízt szeretne adni az alapanyagoknak. Ez attól függ, milyen ételt készít a grillen. Ha például halat készít, a citromos füstölő chips az ideális választás. Ha viszont egy finom csirkét készít, válasszon tölgy- vagy almás füstölő chipset. Fontos, hogy a füstölő chipseket először áztassa vízben, mielőtt a füstölő dobozba helyezi őket. Ha ezt nem teszi meg, a füst keserű ízű lehet. Mindig ügyeljen arra, hogy a füstölő chipsek jól lecsepegjenek. Ha túl nedves inkább gőzöl, mint füstöl. A grillsütő hője miatt a füstölő dobozban lévő fa körülbelül 10-20 perc után parázslani kezd, és füst keletkezik. Ez a füst áthalad a fedél lyukain, és elterjed a grillsütő belsejében. A füst lassan átjárja a grillen lévő különböző alapanyagokat. Soha ne helyezze az alapanyagokat közvetlenül a füstölő dobozra. Ha az ételeket hosszú ideig kell indirekten grillezni a sütőben, időközben újratöltheti a füstölő dobozt füstölő chipsekkel. Ez biztosítja folyamatosan a füst fejlődését.
A füstölő dobozt a Barbecook Spring, Siesta és Stella modellekkel együtt tudja használni. Ezek a gázgrillek mind rendelkeznek egy külön erre a célra kialakított hellyel a bal oldali rács alatt, ahová a füstölő dobozt helyezheti.
Miért elégedne meg csupán azzal, hogy ételeit grillezi? Adjon az elkészült finomságoknak egy csipetnyi fondorlatot a Barbecook füstölő dobozának segítségével.</t>
        </is>
      </c>
    </row>
    <row r="145">
      <c r="A145" s="6" t="inlineStr">
        <is>
          <t xml:space="preserve">   Hűtés / JisuLife ventilátorok</t>
        </is>
      </c>
      <c r="B145" s="6" t="inlineStr">
        <is>
          <t/>
        </is>
      </c>
      <c r="C145" s="6" t="inlineStr">
        <is>
          <t/>
        </is>
      </c>
      <c r="D145" s="6" t="inlineStr">
        <is>
          <t/>
        </is>
      </c>
      <c r="E145" s="6" t="inlineStr">
        <is>
          <t/>
        </is>
      </c>
      <c r="F145" s="6" t="inlineStr">
        <is>
          <t/>
        </is>
      </c>
      <c r="G145" s="6" t="inlineStr">
        <is>
          <t/>
        </is>
      </c>
    </row>
    <row r="146">
      <c r="A146" s="3" t="inlineStr">
        <is>
          <t>FA42white</t>
        </is>
      </c>
      <c r="B146" s="2" t="inlineStr">
        <is>
          <t>JisuLife FA42 White mini kézi ventilátor, 2000mAh akkumulátor, fehér</t>
        </is>
      </c>
      <c r="C146" s="1" t="n">
        <v>5990.0</v>
      </c>
      <c r="D146" s="7" t="n">
        <f>HYPERLINK("https://www.somogyi.hu/product/jisulife-fa42-white-mini-kezi-ventilator-2000mah-akkumulator-feher-fa42white-18541","https://www.somogyi.hu/product/jisulife-fa42-white-mini-kezi-ventilator-2000mah-akkumulator-feher-fa42white-18541")</f>
        <v>0.0</v>
      </c>
      <c r="E146" s="7" t="n">
        <f>HYPERLINK("https://www.somogyi.hu/data/img/product_main_images/small/18541.jpg","https://www.somogyi.hu/data/img/product_main_images/small/18541.jpg")</f>
        <v>0.0</v>
      </c>
      <c r="F146" s="2" t="inlineStr">
        <is>
          <t>6975061532170</t>
        </is>
      </c>
      <c r="G146" s="4" t="inlineStr">
        <is>
          <t>Szeretne egy praktikus, könnyen hordozható ventilátort, mellyel bárhol hűsítheti magát? Ismerje meg a JisuLife FA42 White mini kézi ventilátort, amely ideális választás mindennapi használatra!
A JisuLife FA42 fehér ventilátor szuper-mini kialakításának köszönhetően könnyen hordozható, így bárhová magával viheti. Könnyű súlya és kompakt mérete miatt ideális választás utazáshoz, kirándulásokhoz vagy akár otthoni használatra. A koncentrált turbó szél és a három fokozatú erős széláram garantálja a hatékony hűsítést. A hosszú üzemidőnek köszönhetően akár egész nap élvezheti a frissítő levegőt.
Ez a szuper-mini turbó ventilátor 5.0V 2.0A maximális bemeneti feszültséggel működik, 2000mAh kapacitású lítium-ion akkumulátorral rendelkezik, amely 7.4Wh/3.7V energiát biztosít. A ventilátor maximális teljesítménye 5W, és akár 4 m/s sebességgel is képes levegőt fújni. Három fokozatban állítható szélsebessége biztosítja a kívánt hűsítést minden helyzetben. A teljes feltöltés mindössze 1,5-2,5 órát vesz igénybe, és a ventilátor üzemideje 2-7 óra között változik a használati szinttől függően.
Ne hagyja, hogy a hőség megzavarja mindennapjait! Válassza a JisuLife FA42 White mini kézi ventilátort, és élvezze a hűsítő fuvallatot bárhol, bármikor!</t>
        </is>
      </c>
    </row>
    <row r="147">
      <c r="A147" s="3" t="inlineStr">
        <is>
          <t>FA55gray (Ultra 1 Dark Gray)</t>
        </is>
      </c>
      <c r="B147" s="2" t="inlineStr">
        <is>
          <t>JisuLife FA55 Gray kézi ventilátor, 9000mAh akkumulátor, LED kijelző, negatív  ion légtisztítás, szürke</t>
        </is>
      </c>
      <c r="C147" s="1" t="n">
        <v>34990.0</v>
      </c>
      <c r="D147" s="7" t="n">
        <f>HYPERLINK("https://www.somogyi.hu/product/jisulife-fa55-gray-kezi-ventilator-9000mah-akkumulator-led-kijelzo-negativ-ion-legtisztitas-szurke-fa55gray-ultra-1-dark-gray-18907","https://www.somogyi.hu/product/jisulife-fa55-gray-kezi-ventilator-9000mah-akkumulator-led-kijelzo-negativ-ion-legtisztitas-szurke-fa55gray-ultra-1-dark-gray-18907")</f>
        <v>0.0</v>
      </c>
      <c r="E147" s="7" t="n">
        <f>HYPERLINK("https://www.somogyi.hu/data/img/product_main_images/small/18907.jpg","https://www.somogyi.hu/data/img/product_main_images/small/18907.jpg")</f>
        <v>0.0</v>
      </c>
      <c r="F147" s="2" t="inlineStr">
        <is>
          <t>6975061531432</t>
        </is>
      </c>
      <c r="G147" s="4" t="inlineStr">
        <is>
          <t>Elege van a forró nyári napokból? Szeretne egy kézi ventilátort, mely a legújabb technológiát kínálja Önnek? Lépjen be velünk a JisuLife világába és ismerje meg a JisuLife FA55 Gray azaz JisuLife Handheld Fan Ultra1 kézi ventilátort! 
Ez a stílusos és hordozható szürke színű ventilátor nemcsak divatos, hanem hihetetlen teljesítménnyel és hosszú üzemidővel is büszkélkedhet. A beépített 9000mAh kapacitású lítium-ion akkumulátor lehetővé teszi, hogy akár 6 órán keresztül is élvezhesse a frissítő szellőt. A ventilátor maximális sebessége eléri a 19 m/s-t! Összehasonlításképpen egy hajszárító 9m/s sebességen dolgozik. A 100 fokozatú sebességszabályzóval mindig az Ön igényeinek megfelelő erősséget állíthatja be, így akár hajszárítóként is használhatja.
A ventilátor 5.0V 2.0A, 9.0V 2.0A és 12.0V 1.5A névleges feszültséggel és áramerősséggel működik, így garantált a hatékony és megbízható használat. A 18W-os gyors töltés funkcióval mindössze 2-3 óra alatt teljesen feltöltheti, míg a hagyományos 5.0V 2.0A bemeneti töltéssel 5-6 órára van szükség a teljes töltéshez. Az eszköz LED kijelzővel rendelkezik, amely egyszerűvé teszi a beállítások és az akkumulátor állapotának nyomon követését.
A mindössze 315g súlyú ventilátor kiváló hordozhatósággal bír, így bárhová magával viheti. Legyen szó kirándulásról, szabadtéri koncertről vagy otthoni használatról, ez a ventilátor mindig kéznél lesz, hogy hűsítse Önt. Csendes működése (mindössze 50dB zajszint) biztosítja, hogy munka vagy pihenés közben is zavartalanul élvezhesse a hűsítő szellőt. Továbbá, a ventilátor három multifunkcionális kiegészítővel érkezik, így különböző felhasználási helyzetekben is megállja a helyét. A beépített LED lámpa pedig szükség esetén vészvilágítást biztosít.
Ne hagyja ki ezt a lehetőséget, hogy a legjobb kézi ventilátorral hűtse le magát! Szerezze be a JisuLife FA55 Gray kézi ventilátort most, és élvezze a frissítő szellőt bárhol és bármikor!</t>
        </is>
      </c>
    </row>
    <row r="148">
      <c r="A148" s="3" t="inlineStr">
        <is>
          <t>FA40white</t>
        </is>
      </c>
      <c r="B148" s="2" t="inlineStr">
        <is>
          <t>JisuLife FA40 White Octopus mini ventilátor, 4 fokozat, 4000mAh akkumulátor, fehér</t>
        </is>
      </c>
      <c r="C148" s="1" t="n">
        <v>7690.0</v>
      </c>
      <c r="D148" s="7" t="n">
        <f>HYPERLINK("https://www.somogyi.hu/product/jisulife-fa40-white-octopus-mini-ventilator-4-fokozat-4000mah-akkumulator-feher-fa40white-18527","https://www.somogyi.hu/product/jisulife-fa40-white-octopus-mini-ventilator-4-fokozat-4000mah-akkumulator-feher-fa40white-18527")</f>
        <v>0.0</v>
      </c>
      <c r="E148" s="7" t="n">
        <f>HYPERLINK("https://www.somogyi.hu/data/img/product_main_images/small/18527.jpg","https://www.somogyi.hu/data/img/product_main_images/small/18527.jpg")</f>
        <v>0.0</v>
      </c>
      <c r="F148" s="2" t="inlineStr">
        <is>
          <t>6975061531456</t>
        </is>
      </c>
      <c r="G148" s="4" t="inlineStr">
        <is>
          <t>Gondolkodott már azon, hogyan lehetne a legforróbb napokon hűsölni? A Jisulife FA40 White Octopus mini ventilátor a tökéletes megoldás minden helyzetben!
Ez az egyedi, fehér színű, sárga ventilátor lapáttal rendelkező, polip formájú mini ventilátor rugalmas tripoddal rendelkezik, amely számos felhasználási helyzethez alkalmazkodik, a rugalmas TPE "karok" lehetővé teszik a ventilátor formálását és rögzítését szinte bármilyen felületen, így sokoldalúan használható. Helyezheti gyermeke babakocsijára, kiságyára, de hordozhatja akár kézben is. A beállítás lehetőségét nagyban elősegíti, a 360°-ban forgatható fej.
A 5.0V 2.0A maximális bemeneti feszültséggel működő ventilátor gyorsan feltölthető, és hosszú üzemidőt biztosít, köszönhetően a 4000mAh (14.8Wh/3.7V) kapacitású lítium-ion akkumulátornak.
A Jisulife FA40 ventilátor maximális teljesítménye 5W, és akár 4.5 m/s sebességgel is képes a levegőt fújni, így biztosítva a kellemes hűtést. A teljes feltöltés 4-5 órát vesz igénybe, és a ventilátor üzemideje 4-16 óra között változik a használati szinttől függően.
A négy választható szélsebesség biztosítja, hogy mindig megtalálja az Ön számára legmegfelelőbb hűtési fokozatot. A továbbfejlesztett Type-C bemenet gyors és kényelmes töltést tesz lehetővé. A ventilátor borítása levehető és mosható, így könnyen tisztán tartható.
Ne hagyja, hogy a hőség megzavarja a nyugalmát! Válassza a JisuLife FA40 White Octopus mini ventilátort, és élvezze a hűsítő fuvallatot bárhol, bármikor! Szerezze be most, és élvezze a praktikus és stílusos hűtési megoldást minden helyzetben!</t>
        </is>
      </c>
    </row>
    <row r="149">
      <c r="A149" s="3" t="inlineStr">
        <is>
          <t>FA55brown (Ultra 1 LightBrown)</t>
        </is>
      </c>
      <c r="B149" s="2" t="inlineStr">
        <is>
          <t>JisuLife FA55 Brown kézi ventilátor, 9000mAh akkumulátor, LED kijelző, negatív  ion légtisztítás, barna</t>
        </is>
      </c>
      <c r="C149" s="1" t="n">
        <v>34990.0</v>
      </c>
      <c r="D149" s="7" t="n">
        <f>HYPERLINK("https://www.somogyi.hu/product/jisulife-fa55-brown-kezi-ventilator-9000mah-akkumulator-led-kijelzo-negativ-ion-legtisztitas-barna-fa55brown-ultra-1-lightbrown-18908","https://www.somogyi.hu/product/jisulife-fa55-brown-kezi-ventilator-9000mah-akkumulator-led-kijelzo-negativ-ion-legtisztitas-barna-fa55brown-ultra-1-lightbrown-18908")</f>
        <v>0.0</v>
      </c>
      <c r="E149" s="7" t="n">
        <f>HYPERLINK("https://www.somogyi.hu/data/img/product_main_images/small/18908.jpg","https://www.somogyi.hu/data/img/product_main_images/small/18908.jpg")</f>
        <v>0.0</v>
      </c>
      <c r="F149" s="2" t="inlineStr">
        <is>
          <t>6975061531425</t>
        </is>
      </c>
      <c r="G149" s="4" t="inlineStr">
        <is>
          <t>Elege van a forró nyári napokból? Szeretne egy kézi ventilátort, mely a legújabb technológiát kínálja Önnek? Lépjen be velünk a JisuLife világába és ismerje meg a JisuLife FA55 Brown azaz JisuLife Handheld Fan Ultra1 kézi ventilátort! 
Ez a stílusos és hordozható barna színű ventilátor nemcsak divatos, hanem hihetetlen teljesítménnyel és hosszú üzemidővel is büszkélkedhet. A beépített 9000mAh kapacitású lítium-ion akkumulátor lehetővé teszi, hogy akár 6 órán keresztül is élvezhesse a frissítő szellőt. A ventilátor maximális sebessége eléri a 19 m/s-t! Összehasonlításképpen egy hajszárító 9m/s sebességen dolgozik. A 100 fokozatú sebességszabályzóval mindig az Ön igényeinek megfelelő erősséget állíthatja be, így akár hajszárítóként is használhatja.
A ventilátor 5.0V 2.0A, 9.0V 2.0A és 12.0V 1.5A névleges feszültséggel és áramerősséggel működik, így garantált a hatékony és megbízható használat. A 18W-os gyors töltés funkcióval mindössze 2-3 óra alatt teljesen feltöltheti, míg a hagyományos 5.0V 2.0A bemeneti töltéssel 5-6 órára van szükség a teljes töltéshez. Az eszköz LED kijelzővel rendelkezik, amely egyszerűvé teszi a beállítások és az akkumulátor állapotának nyomon követését.
A mindössze 315g súlyú ventilátor kiváló hordozhatósággal bír, így bárhová magával viheti. Legyen szó kirándulásról, szabadtéri koncertről vagy otthoni használatról, ez a ventilátor mindig kéznél lesz, hogy hűsítse Önt. Csendes működése (mindössze 50dB zajszint) biztosítja, hogy munka vagy pihenés közben is zavartalanul élvezhesse a hűsítő szellőt. Továbbá, a ventilátor három multifunkcionális kiegészítővel érkezik, így különböző felhasználási helyzetekben is megállja a helyét. A beépített LED lámpa pedig szükség esetén vészvilágítást biztosít.
Ne hagyja ki ezt a lehetőséget, hogy a legjobb kézi ventilátorral hűtse le magát! Szerezze be a JisuLife FA55 Brown kézi ventilátort most, és élvezze a frissítő szellőt bárhol és bármikor!</t>
        </is>
      </c>
    </row>
    <row r="150">
      <c r="A150" s="3" t="inlineStr">
        <is>
          <t>FA42brown</t>
        </is>
      </c>
      <c r="B150" s="2" t="inlineStr">
        <is>
          <t>JisuLife FA42 Brown mini kézi ventilátor, 2000mAh akkumulátor, barna</t>
        </is>
      </c>
      <c r="C150" s="1" t="n">
        <v>5990.0</v>
      </c>
      <c r="D150" s="7" t="n">
        <f>HYPERLINK("https://www.somogyi.hu/product/jisulife-fa42-brown-mini-kezi-ventilator-2000mah-akkumulator-barna-fa42brown-18539","https://www.somogyi.hu/product/jisulife-fa42-brown-mini-kezi-ventilator-2000mah-akkumulator-barna-fa42brown-18539")</f>
        <v>0.0</v>
      </c>
      <c r="E150" s="7" t="n">
        <f>HYPERLINK("https://www.somogyi.hu/data/img/product_main_images/small/18539.jpg","https://www.somogyi.hu/data/img/product_main_images/small/18539.jpg")</f>
        <v>0.0</v>
      </c>
      <c r="F150" s="2" t="inlineStr">
        <is>
          <t>6975061532187</t>
        </is>
      </c>
      <c r="G150" s="4" t="inlineStr">
        <is>
          <t>Szeretne egy praktikus, könnyen hordozható ventilátort, mellyel bárhol hűsítheti magát? Ismerje meg a JisuLife FA42 Brown mini kézi ventilátort, amely ideális választás mindennapi használatra!
A JisuLife FA42 barna színű ventilátor szuper-mini kialakításának köszönhetően könnyen hordozható, így bárhová magával viheti. Könnyű súlya és kompakt mérete miatt ideális választás utazáshoz, kirándulásokhoz vagy akár otthoni használatra. A koncentrált turbó szél és a három fokozatú erős széláram garantálja a hatékony hűsítést. A hosszú üzemidőnek köszönhetően akár egész nap élvezheti a frissítő levegőt.
Ez a szuper-mini turbó ventilátor 5.0V 2.0A maximális bemeneti feszültséggel működik, 2000mAh kapacitású lítium-ion akkumulátorral rendelkezik, amely 7.4Wh/3.7V energiát biztosít. A ventilátor maximális teljesítménye 5W, és akár 4 m/s sebességgel is képes levegőt fújni. Három fokozatban állítható szélsebessége biztosítja a kívánt hűsítést minden helyzetben. A teljes feltöltés mindössze 1,5-2,5 órát vesz igénybe, és a ventilátor üzemideje 2-7 óra között változik a használati szinttől függően.
Ne hagyja, hogy a hőség megzavarja mindennapjait! Válassza a JisuLife FA42 Brown mini kézi ventilátort, és élvezze a hűsítő fuvallatot bárhol, bármikor!</t>
        </is>
      </c>
    </row>
    <row r="151">
      <c r="A151" s="3" t="inlineStr">
        <is>
          <t>FA42green</t>
        </is>
      </c>
      <c r="B151" s="2" t="inlineStr">
        <is>
          <t>JisuLife FA42 Green mini kézi ventilátor, 2000mAh akkumulátor, zöld</t>
        </is>
      </c>
      <c r="C151" s="1" t="n">
        <v>5990.0</v>
      </c>
      <c r="D151" s="7" t="n">
        <f>HYPERLINK("https://www.somogyi.hu/product/jisulife-fa42-green-mini-kezi-ventilator-2000mah-akkumulator-zold-fa42green-18540","https://www.somogyi.hu/product/jisulife-fa42-green-mini-kezi-ventilator-2000mah-akkumulator-zold-fa42green-18540")</f>
        <v>0.0</v>
      </c>
      <c r="E151" s="7" t="n">
        <f>HYPERLINK("https://www.somogyi.hu/data/img/product_main_images/small/18540.jpg","https://www.somogyi.hu/data/img/product_main_images/small/18540.jpg")</f>
        <v>0.0</v>
      </c>
      <c r="F151" s="2" t="inlineStr">
        <is>
          <t>6975061532194</t>
        </is>
      </c>
      <c r="G151" s="4" t="inlineStr">
        <is>
          <t>Szeretne egy praktikus, könnyen hordozható ventilátort, mellyel bárhol hűsítheti magát? Ismerje meg a JisuLife FA42 Green mini kézi ventilátort, amely ideális választás mindennapi használatra!
A JisuLife FA42 zöld színű ventilátor szuper-mini kialakításának köszönhetően könnyen hordozható, így bárhová magával viheti. Könnyű súlya és kompakt mérete miatt ideális választás utazáshoz, kirándulásokhoz vagy akár otthoni használatra. A koncentrált turbó szél és a három fokozatú erős széláram garantálja a hatékony hűsítést. A hosszú üzemidőnek köszönhetően akár egész nap élvezheti a frissítő levegőt.
Ez a szuper-mini turbó ventilátor 5.0V 2.0A maximális bemeneti feszültséggel működik, 2000mAh kapacitású lítium-ion akkumulátorral rendelkezik, amely 7.4Wh/3.7V energiát biztosít. A ventilátor maximális teljesítménye 5W, és akár 4 m/s sebességgel is képes levegőt fújni. Három fokozatban állítható szélsebessége biztosítja a kívánt hűsítést minden helyzetben. A teljes feltöltés mindössze 1,5-2,5 órát vesz igénybe, és a ventilátor üzemideje 2-7 óra között változik a használati szinttől függően.
Ne hagyja, hogy a hőség megzavarja mindennapjait! Válassza a JisuLife FA42 Green mini kézi ventilátort, és élvezze a hűsítő fuvallatot bárhol, bármikor!</t>
        </is>
      </c>
    </row>
    <row r="152">
      <c r="A152" s="3" t="inlineStr">
        <is>
          <t>FA53PROwhite (FanPro1 White)</t>
        </is>
      </c>
      <c r="B152" s="2" t="inlineStr">
        <is>
          <t>JisuLife FA53PRO White kézi ventilátor, 2500mAh akkumulátor, LED kijelző, fehér</t>
        </is>
      </c>
      <c r="C152" s="1" t="n">
        <v>15990.0</v>
      </c>
      <c r="D152" s="7" t="n">
        <f>HYPERLINK("https://www.somogyi.hu/product/jisulife-fa53pro-white-kezi-ventilator-2500mah-akkumulator-led-kijelzo-feher-fa53prowhite-fanpro1-white-18544","https://www.somogyi.hu/product/jisulife-fa53pro-white-kezi-ventilator-2500mah-akkumulator-led-kijelzo-feher-fa53prowhite-fanpro1-white-18544")</f>
        <v>0.0</v>
      </c>
      <c r="E152" s="7" t="n">
        <f>HYPERLINK("https://www.somogyi.hu/data/img/product_main_images/small/18544.jpg","https://www.somogyi.hu/data/img/product_main_images/small/18544.jpg")</f>
        <v>0.0</v>
      </c>
      <c r="F152" s="2" t="inlineStr">
        <is>
          <t>6975061531418</t>
        </is>
      </c>
      <c r="G152" s="4" t="inlineStr">
        <is>
          <t>Szeretné megtalálni a tökéletes megoldást a forró nyári napokra? A JisuLife FA53PRO White kézi ventilátor az Ön ideális társa lehet! 
Ez a fehér színű ventilátor nemcsak divatos és hordozható, de rendkívül erős is. A beépített 2500mAh kapacitású lítium-ion akkumulátornak köszönhetően akár 12 órán át is élvezheti a hűsítő szellőt, a felhasználási módoktól függően. A ventilátor maximális sebessége elérheti a 9m/s értéket, így garantáltan felfrissülhet a legmelegebb napokon is.
A készülék 5.0V 2.5A névleges feszültséggel és áramerősséggel működik, a 8.5W maximális teljesítmény pedig biztosítja a hatékony működést. A ventilátor 100 fokozatú digitális sebességszabályozóval rendelkezik, így minden helyzetben a megfelelő erősséget állíthatja be. A 2-3 órás töltési idő után a ventilátor akár 2-12 órán át működhet, attól függően, hogy milyen intenzitáson használja.
A JisuLife FA53PRO White kézi ventilátor LED kijelzővel van ellátva, amely lehetővé teszi a beállítások és az akkumulátor állapotának könnyű nyomon követését. A biztonsági kapcsolózár funkcióval pedig biztos lehet abban, hogy a készülék használata mindig biztonságos.
Ne hagyja ki ezt a lehetőséget, hogy a legjobb kézi ventilátorral hűtse le magát! Szerezze be a JisuLife FA53PRO White kézi ventilátort most, és élvezze a frissítő szellőt bárhol és bármikor!</t>
        </is>
      </c>
    </row>
    <row r="153">
      <c r="A153" s="3" t="inlineStr">
        <is>
          <t>FA21pink</t>
        </is>
      </c>
      <c r="B153" s="2" t="inlineStr">
        <is>
          <t>JisuLife FA21 Pink kézi ventilátor, 3 fokozat, 2000mAh akkumulátor, rózsaszín</t>
        </is>
      </c>
      <c r="C153" s="1" t="n">
        <v>4590.0</v>
      </c>
      <c r="D153" s="7" t="n">
        <f>HYPERLINK("https://www.somogyi.hu/product/jisulife-fa21-pink-kezi-ventilator-3-fokozat-2000mah-akkumulator-rozsaszin-fa21pink-18906","https://www.somogyi.hu/product/jisulife-fa21-pink-kezi-ventilator-3-fokozat-2000mah-akkumulator-rozsaszin-fa21pink-18906")</f>
        <v>0.0</v>
      </c>
      <c r="E153" s="7" t="n">
        <f>HYPERLINK("https://www.somogyi.hu/data/img/product_main_images/small/18906.jpg","https://www.somogyi.hu/data/img/product_main_images/small/18906.jpg")</f>
        <v>0.0</v>
      </c>
      <c r="F153" s="2" t="inlineStr">
        <is>
          <t>6975061531951</t>
        </is>
      </c>
      <c r="G153" s="4" t="inlineStr">
        <is>
          <t>Egy hatékony és könnyen hordozható hűsítő megoldást keres? A JisuLife FA21 Pink kézi ventilátor tökéletes választás a forró napokra, bárhol is legyen rá szüksége.
A szuper mini készülék könnyen hordozható, három fokozatban állítható erősséggel garantálja a kívánt hűtést bármilyen helyzetben. A ventilátor kialakítása megakadályozza az ujjak becsípődését, így biztonságosan használható. Az univerzális Type-C bemenet biztosítja a gyors és kényelmes töltést.
A rózsaszín hordozható kézi ventilátor 5.0V 2.0A bemeneti feszültséggel működik, így könnyedén feltölthető bárhol. Az akkumulátor 2000mAh kapacitással rendelkezik, ami hosszú üzemidőt biztosít a használati szinttől és a körülményektől függően.
A JisuLife FA21 Pink ventilátor maximális teljesítménye 3W, és akár 4 m/s sebességgel is képes a levegőt mozgatni, biztosítva a kellemes hűsítést. A lítium-ion akkumulátor Type-C csatlakozóval tölthető, és 2-3 óra alatt teljesen feltölthető. Az üzemidő 2-7 óra között változik, attól függően, hogy milyen sebességen használja a ventilátort.
Ne hagyja, hogy a meleg időjárás befolyásolja a kényelmét! Válassza a JisuLife FA21 Pink kézi ventilátort, és élvezze a hűvös frissességet bárhol és bármikor!</t>
        </is>
      </c>
    </row>
    <row r="154">
      <c r="A154" s="6" t="inlineStr">
        <is>
          <t xml:space="preserve">      Hűtés / Klíma / Légkondicionáló</t>
        </is>
      </c>
      <c r="B154" s="6" t="inlineStr">
        <is>
          <t/>
        </is>
      </c>
      <c r="C154" s="6" t="inlineStr">
        <is>
          <t/>
        </is>
      </c>
      <c r="D154" s="6" t="inlineStr">
        <is>
          <t/>
        </is>
      </c>
      <c r="E154" s="6" t="inlineStr">
        <is>
          <t/>
        </is>
      </c>
      <c r="F154" s="6" t="inlineStr">
        <is>
          <t/>
        </is>
      </c>
      <c r="G154" s="6" t="inlineStr">
        <is>
          <t/>
        </is>
      </c>
    </row>
    <row r="155">
      <c r="A155" s="3" t="inlineStr">
        <is>
          <t>ACH 12000</t>
        </is>
      </c>
      <c r="B155" s="2" t="inlineStr">
        <is>
          <t>Home ACH 12000 hűtő-fűtő mobilklíma, hűtési / fűtési teljesítmény: 3,5 kW / 3,3 kW, Wifi, Smart, távirányító, ideális 26 m2 helyiséghez</t>
        </is>
      </c>
      <c r="C155" s="1" t="n">
        <v>191990.0</v>
      </c>
      <c r="D155" s="7" t="n">
        <f>HYPERLINK("https://www.somogyi.hu/product/home-ach-12000-huto-futo-mobilklima-hutesi-futesi-teljesitmeny-3-5-kw-3-3-kw-wifi-smart-taviranyito-idealis-26-m2-helyiseghez-ach-12000-18026","https://www.somogyi.hu/product/home-ach-12000-huto-futo-mobilklima-hutesi-futesi-teljesitmeny-3-5-kw-3-3-kw-wifi-smart-taviranyito-idealis-26-m2-helyiseghez-ach-12000-18026")</f>
        <v>0.0</v>
      </c>
      <c r="E155" s="7" t="n">
        <f>HYPERLINK("https://www.somogyi.hu/data/img/product_main_images/small/18026.jpg","https://www.somogyi.hu/data/img/product_main_images/small/18026.jpg")</f>
        <v>0.0</v>
      </c>
      <c r="F155" s="2" t="inlineStr">
        <is>
          <t>5999084960483</t>
        </is>
      </c>
      <c r="G155" s="4" t="inlineStr">
        <is>
          <t>Miért érdemes a Home ACH 12000 mobilklímát választani otthona hűtésére és fűtésére? Képzelje el, hogy egyetlen készülékkel megoldhatja otthona hűtését és fűtését, miközben modern technológiával és kényelmi funkciókkal is rendelkezik. 
A Home ACH 12000 hűtő-fűtő mobilklíma 3,5 kW hűtési és 3,3 kW fűtési teljesítménnyel rendelkezik, így bármilyen évszakban biztosítja a kellemes hőmérsékletet akár 26 m²-es helyiségekben is. Négyféle üzemmódja van: hűtés, ventilátor, szárítás és fűtés, így mindig az aktuális igényeinek megfelelően állíthatja be a készüléket.
A klíma WiFi kapcsolódási lehetőséggel is bír, így a Smart Life applikációval telefonról, távolról vezérelheti. A digitális kijelzőn egyszerűen leolvashatók a beállítások, és a távirányítóval minden funkció kényelmesen irányítható. A be- és kikapcsolás időzítő funkcióval szabályozható, így akár 24 órára előre is programozhatja a működését.
A légterelő lamellák fel és le irányban szabályozzák a levegő áramlását, és a mosható szűrő gondoskodik a tiszta levegőről. Az energiaosztály hűtés és fűtés esetén is A, így biztos lehet benne, hogy energiatakarékos készüléket használ. A klíma zajszintje mindössze 65 dB(A), így működése csendes és nyugodt környezetet biztosít.
A készülék 220-240 V~ / 50 Hz feszültséggel működik, és a távirányító 2 x AAA (1,5 V) elemmel üzemel, amelyek nem tartozékok. A légszállítási kapacitása 450 m³/h, maximális szárítási teljesítménye pedig 36 l /24 h. A klíma R290 hűtőközeggel működik, amely környezetbarát és hatékony. Méretei 44 x 82 x 35 cm, tömege pedig 27 kg, így könnyen mozgatható és elhelyezhető bárhol az otthonában.
Ne habozzon, tegye komfortosabbá otthonát a Home ACH 12000 mobilklímával! Vásároljon most, és élvezze a tökéletes hőmérsékletet egész évben!</t>
        </is>
      </c>
    </row>
    <row r="156">
      <c r="A156" s="6" t="inlineStr">
        <is>
          <t xml:space="preserve">      Hűtés / Klíma / Klíma tartozék</t>
        </is>
      </c>
      <c r="B156" s="6" t="inlineStr">
        <is>
          <t/>
        </is>
      </c>
      <c r="C156" s="6" t="inlineStr">
        <is>
          <t/>
        </is>
      </c>
      <c r="D156" s="6" t="inlineStr">
        <is>
          <t/>
        </is>
      </c>
      <c r="E156" s="6" t="inlineStr">
        <is>
          <t/>
        </is>
      </c>
      <c r="F156" s="6" t="inlineStr">
        <is>
          <t/>
        </is>
      </c>
      <c r="G156" s="6" t="inlineStr">
        <is>
          <t/>
        </is>
      </c>
    </row>
    <row r="157">
      <c r="A157" s="3" t="inlineStr">
        <is>
          <t>WSL 4</t>
        </is>
      </c>
      <c r="B157" s="2" t="inlineStr">
        <is>
          <t>Home WSL 4 ablakszigetelés mobil klímához, 4 m, minden bukó nyíló típusú ablakra felszerelhető, öntapadó tépőzár</t>
        </is>
      </c>
      <c r="C157" s="1" t="n">
        <v>11190.0</v>
      </c>
      <c r="D157" s="7" t="n">
        <f>HYPERLINK("https://www.somogyi.hu/product/home-wsl-4-ablakszigeteles-mobil-klimahoz-4-m-minden-buko-nyilo-tipusu-ablakra-felszerelheto-ontapado-tepozar-wsl-4-17704","https://www.somogyi.hu/product/home-wsl-4-ablakszigeteles-mobil-klimahoz-4-m-minden-buko-nyilo-tipusu-ablakra-felszerelheto-ontapado-tepozar-wsl-4-17704")</f>
        <v>0.0</v>
      </c>
      <c r="E157" s="7" t="n">
        <f>HYPERLINK("https://www.somogyi.hu/data/img/product_main_images/small/17704.jpg","https://www.somogyi.hu/data/img/product_main_images/small/17704.jpg")</f>
        <v>0.0</v>
      </c>
      <c r="F157" s="2" t="inlineStr">
        <is>
          <t>5999084957261</t>
        </is>
      </c>
      <c r="G157" s="4" t="inlineStr">
        <is>
          <t>Szeretné hatékonyabban hűteni otthonát anélkül, hogy a meleg levegő beáramolna a nyitott ablakon? A Home WSL 4 ablakszigetelés mobil klímához tökéletes megoldást kínál, hogy nyitott ablak mellett is megőrizze a hűvös levegőt otthonában, miközben kizárja a kinti meleget. 
Ez az innovatív ablakszigetelés egyszerűen felszerelhető, és kompatibilis minden bukó-nyíló típusú ablakkal. A felszerelés rendkívül egyszerű, köszönhetően az öntapadó tépőzárnak, amely gyors és biztos rögzítést tesz lehetővé. A szigetelés strapabíró anyagból készült, így hosszú távon is megbízható védelmet nyújt. A 4 méter hosszú szigetelés elegendő anyagot biztosít ahhoz, hogy bármilyen méretű ablakra könnyedén felszerelhető legyen.
A kifúvótömlő csatlakoztatása a cipzáras kialakításnak köszönhetően gyors és egyszerű, így biztosítva a mobil klíma hatékony működését. A Home WSL 4 ablakszigetelés különösen ajánlott mobil klímákhoz, mint például a Home ACM 9000, ACM 12000 és ACH 12000 típusokhoz, de kiválóan használható bármilyen más mobil klíma berendezéssel is.
Ne hagyja, hogy a meleg levegő rontsa a hűtés hatékonyságát – válassza a Home WSL 4 ablakszigetelést, és élvezze a hűvös levegőt otthonában még a legforróbb napokon is!</t>
        </is>
      </c>
    </row>
    <row r="158">
      <c r="A158" s="6" t="inlineStr">
        <is>
          <t xml:space="preserve">   Hűtés / Párásító ventilátor</t>
        </is>
      </c>
      <c r="B158" s="6" t="inlineStr">
        <is>
          <t/>
        </is>
      </c>
      <c r="C158" s="6" t="inlineStr">
        <is>
          <t/>
        </is>
      </c>
      <c r="D158" s="6" t="inlineStr">
        <is>
          <t/>
        </is>
      </c>
      <c r="E158" s="6" t="inlineStr">
        <is>
          <t/>
        </is>
      </c>
      <c r="F158" s="6" t="inlineStr">
        <is>
          <t/>
        </is>
      </c>
      <c r="G158" s="6" t="inlineStr">
        <is>
          <t/>
        </is>
      </c>
    </row>
    <row r="159">
      <c r="A159" s="3" t="inlineStr">
        <is>
          <t>SFM43BK</t>
        </is>
      </c>
      <c r="B159" s="2" t="inlineStr">
        <is>
          <t>Home SFM43BK párásító ventilátor, 75 W, 40 cm névleges lapátátmérő, 3 lapát, 3 fokozat, oszcillálás, kikapcsolásidőzítés, 3 fokozatú párásítás, állítható dőlésszög</t>
        </is>
      </c>
      <c r="C159" s="1" t="n">
        <v>37190.0</v>
      </c>
      <c r="D159" s="7" t="n">
        <f>HYPERLINK("https://www.somogyi.hu/product/home-sfm43bk-parasito-ventilator-75-w-40-cm-nevleges-lapatatmero-3-lapat-3-fokozat-oszcillalas-kikapcsolasidozites-3-fokozatu-parasitas-allithato-dolesszog-sfm43bk-18377","https://www.somogyi.hu/product/home-sfm43bk-parasito-ventilator-75-w-40-cm-nevleges-lapatatmero-3-lapat-3-fokozat-oszcillalas-kikapcsolasidozites-3-fokozatu-parasitas-allithato-dolesszog-sfm43bk-18377")</f>
        <v>0.0</v>
      </c>
      <c r="E159" s="7" t="n">
        <f>HYPERLINK("https://www.somogyi.hu/data/img/product_main_images/small/18377.jpg","https://www.somogyi.hu/data/img/product_main_images/small/18377.jpg")</f>
        <v>0.0</v>
      </c>
      <c r="F159" s="2" t="inlineStr">
        <is>
          <t>5999084963958</t>
        </is>
      </c>
      <c r="G159" s="4" t="inlineStr">
        <is>
          <t>Gondolkodott már azon, hogyan varázsolhatná otthonát frissebbé és kényelmesebbé? 
A Home SFM43BK párásító ventilátorral ez könnyen megvalósítható. A 40 cm átmérőjű lapátokkal rendelkező ventilátor három sebességfokozattal, normál, természetes szél és éjszakai üzemmóddal biztosítja a szükséges hűsítést. Kényelmes irányítását elektronikus fóliagombok vagy a távirányító garantálja. A kapcsolható oszcillálás és az állítható fejdőlésszög még több rugalmasságot nyújt.
Ez a készülék nem csupán ventilátorként szolgál, hanem a 2,8 literes, felülről tölthető víztartályának köszönhetően párásítóként is funkcionál. A párásítás szintje három fokozatban állítható be, önállóan is használható, maximum 220 g/óra párásítási kapacitással. Az időzítő funkció lehetővé teszi a kikapcsolás beállítását 0,5-7,5 óra között, így éjszakára is tökéletes választás. A készülék könnyű mozgathatóságát a kerekek biztosítják. A távirányító működéséhez 2 db 1,5V-os (AAA) elem szükséges, amely nem része a csomagnak. A ventilátor tápellátása: 220-240V~ 50/60Hz, 75W.
Méretei (430x1270x400 mm) révén bármely szobában elfér. Változtassa otthonát frissítő oázissá a Home SFM43BK párásító ventilátorral!</t>
        </is>
      </c>
    </row>
    <row r="160">
      <c r="A160" s="6" t="inlineStr">
        <is>
          <t xml:space="preserve">   Hűtés / Léghűtő</t>
        </is>
      </c>
      <c r="B160" s="6" t="inlineStr">
        <is>
          <t/>
        </is>
      </c>
      <c r="C160" s="6" t="inlineStr">
        <is>
          <t/>
        </is>
      </c>
      <c r="D160" s="6" t="inlineStr">
        <is>
          <t/>
        </is>
      </c>
      <c r="E160" s="6" t="inlineStr">
        <is>
          <t/>
        </is>
      </c>
      <c r="F160" s="6" t="inlineStr">
        <is>
          <t/>
        </is>
      </c>
      <c r="G160" s="6" t="inlineStr">
        <is>
          <t/>
        </is>
      </c>
    </row>
    <row r="161">
      <c r="A161" s="3" t="inlineStr">
        <is>
          <t>LH301T</t>
        </is>
      </c>
      <c r="B161" s="2" t="inlineStr">
        <is>
          <t>Home LH301T párásító betét LH301 léghűtőhöz</t>
        </is>
      </c>
      <c r="C161" s="1" t="n">
        <v>1090.0</v>
      </c>
      <c r="D161" s="7" t="n">
        <f>HYPERLINK("https://www.somogyi.hu/product/home-lh301t-parasito-betet-lh301-leghutohoz-lh301t-19028","https://www.somogyi.hu/product/home-lh301t-parasito-betet-lh301-leghutohoz-lh301t-19028")</f>
        <v>0.0</v>
      </c>
      <c r="E161" s="7" t="n">
        <f>HYPERLINK("https://www.somogyi.hu/data/img/product_main_images/small/19028.jpg","https://www.somogyi.hu/data/img/product_main_images/small/19028.jpg")</f>
        <v>0.0</v>
      </c>
      <c r="F161" s="2" t="inlineStr">
        <is>
          <t>5999084970215</t>
        </is>
      </c>
      <c r="G161" s="4" t="inlineStr">
        <is>
          <t>Hogyan biztosítható a Home LH301 léghűtő hatékony és higiénikus működése?
A Home LH301T párásító betét az LH301 léghűtő elengedhetetlen kiegészítője, amely garantálja a megfelelő párologtatási teljesítményt és a friss, tiszta levegőt. Az időszakos csere gondoskodik arról, hogy a léghűtő mindig hatékonyan működjön, miközben hosszú távon fenntartja az optimális légkondicionálási élményt.
Hatékony párologtatás és tiszta levegő
- Kompatibilis a Home LH301 léghűtővel – kifejezetten az optimális működés érdekében tervezve
- Magas nedvességmegtartó képesség – hatékony párologtatás a hűvösebb levegőért
- Hosszú élettartamú anyag – biztosítja a stabil és megbízható teljesítményt
- Egyszerű csere és karbantartás – könnyedén cserélhető a léghűtőben
Miért fontos a párásító betét időszakos cseréje?
- Fenntartja a léghűtő hatékonyságát – biztosítja a megfelelő párologtatási teljesítményt
- Hozzájárul a higiénikus működéshez – megakadályozza a lerakódások kialakulását
- Tisztább és frissebb levegőt biztosít – segít elkerülni a kellemetlen szagokat és lerakódásokat
Egyszerű használat és karbantartás
A Home LH301T párásító betét cseréje rendkívül egyszerű, így bárki könnyedén elvégezheti. Az új betét behelyezésével biztosítható, hogy a léghűtő továbbra is maximális hatékonysággal működjön, friss és tiszta levegőt biztosítva.
Miért válassza a Home LH301T párásító betétet?
- Kifejezetten a Home LH301 léghűtőhöz készült
- Hosszú élettartamú, megbízható párologtató betét
- Könnyen cserélhető, egyszerű karbantartás
- Fenntartja a léghűtő hatékony működését
Ne hagyja, hogy léghűtője teljesítménye csökkenjen! Cserélje rendszeresen a Home LH301T párásító betétet, és élvezze a friss, tiszta levegőt minden nap!</t>
        </is>
      </c>
    </row>
    <row r="162">
      <c r="A162" s="3" t="inlineStr">
        <is>
          <t>LHP 800i</t>
        </is>
      </c>
      <c r="B162" s="2" t="inlineStr">
        <is>
          <t>Home LHP 800i léghűtő távirányítóval, ionizátor, 80 W, 3 fokozat, tartozék jégakku, 3 literes víztatály</t>
        </is>
      </c>
      <c r="C162" s="1" t="n">
        <v>42890.0</v>
      </c>
      <c r="D162" s="7" t="n">
        <f>HYPERLINK("https://www.somogyi.hu/product/home-lhp-800i-leghuto-taviranyitoval-ionizator-80-w-3-fokozat-tartozek-jegakku-3-literes-viztataly-lhp-800i-17258","https://www.somogyi.hu/product/home-lhp-800i-leghuto-taviranyitoval-ionizator-80-w-3-fokozat-tartozek-jegakku-3-literes-viztataly-lhp-800i-17258")</f>
        <v>0.0</v>
      </c>
      <c r="E162" s="7" t="n">
        <f>HYPERLINK("https://www.somogyi.hu/data/img/product_main_images/small/17258.jpg","https://www.somogyi.hu/data/img/product_main_images/small/17258.jpg")</f>
        <v>0.0</v>
      </c>
      <c r="F162" s="2" t="inlineStr">
        <is>
          <t>5999084952808</t>
        </is>
      </c>
      <c r="G162" s="4" t="inlineStr">
        <is>
          <t>Szeretne otthonában friss és hűs levegőt, anélkül hogy a klíma magas költségeivel kellene szembesülnie? A Home LHP 800i léghűtő ideális választás, ha zárt légterek frissítésére és hűtésére keres egy hatékony megoldást. 
Ez a léghűtő a hideg víz elpárologtatásával hűti le a rajta keresztüláramló levegőt, így kellemes és friss közérzetet biztosít, anélkül hogy jelentősen csökkentené a helyiség hőmérsékletét.
A Home LHP 800i érintőgombokkal és távirányítóval vezérelhető, így könnyedén beállíthatja a kívánt hűtési fokozatot. A készülék három ventilátorsebesség-fokozattal rendelkezik, és a levegő eloszlatását ki- és bekapcsolható forgó légterelő lamellák biztosítják. A léghűtés környezetbarát módon történik a víz párologtatásával, és a készülék tartozékként két jégakkuval is rendelkezik, amelyek még hatékonyabb hűtést biztosítanak.
Az ionizátor funkcióval tovább javíthatja a levegő minőségét, míg a három ventilátor üzemmód – normál, természetes szél és alvó – lehetővé teszi, hogy az igényeinek megfelelően állítsa be a készüléket. A léghűtő 0,5-7,5 órás kikapcsolás időzítéssel rendelkezik, így előre beállíthatja a működési időt. Könnyedén gördíthető kerekeken, amelyek befékezhetők a stabilitás érdekében. A 3 literes víztartály hosszú üzemidőt biztosít, és a cserélhető párologtató betét (LHP 800i/T) hosszú távú használatot garantál. A léghűtő hangteljesítményszintje 60 dB(A), így csendes működést biztosít.
A távirányító tápellátása 1x3 V (CR2025) gombelemmel történik, amely tartozékként jár a készülékhez. A léghűtő tápellátása 230 V~ / 50 Hz / 80 W, és a 1,35 méteres tápkábel elegendő mozgásteret biztosít. A készülék üres tömege 4,9 kg, így könnyedén mozgatható és elhelyezhető bárhol otthonában.
Válassza a Home LHP 800i léghűtőt, és élvezze a friss, hűvös levegőt otthonában gazdaságos és környezetbarát módon!</t>
        </is>
      </c>
    </row>
    <row r="163">
      <c r="A163" s="3" t="inlineStr">
        <is>
          <t>LHP400DT</t>
        </is>
      </c>
      <c r="B163" s="2" t="inlineStr">
        <is>
          <t>Home LHP400DT párásító betét LHP400D léghűtőhöz</t>
        </is>
      </c>
      <c r="C163" s="1" t="n">
        <v>1090.0</v>
      </c>
      <c r="D163" s="7" t="n">
        <f>HYPERLINK("https://www.somogyi.hu/product/home-lhp400dt-parasito-betet-lhp400d-leghutohoz-lhp400dt-18985","https://www.somogyi.hu/product/home-lhp400dt-parasito-betet-lhp400d-leghutohoz-lhp400dt-18985")</f>
        <v>0.0</v>
      </c>
      <c r="E163" s="7" t="n">
        <f>HYPERLINK("https://www.somogyi.hu/data/img/product_main_images/small/18985.jpg","https://www.somogyi.hu/data/img/product_main_images/small/18985.jpg")</f>
        <v>0.0</v>
      </c>
      <c r="F163" s="2" t="inlineStr">
        <is>
          <t>5999084969790</t>
        </is>
      </c>
      <c r="G163" s="4" t="inlineStr">
        <is>
          <t>Hogyan biztosíthatja léghűtője hatékony és higiénikus működését hosszú távon?
A Home LHP400DT párásító betét a Home LHP400D léghűtőhöz tervezett cserélhető alkatrész, amely biztosítja a készülék optimális teljesítményét és a folyamatos, kellemes levegőáramlást. A betét speciális kialakításának köszönhetően hatékonyan segíti a víz elpárologtatását, miközben megőrzi a léghűtő eredeti hűtési hatékonyságát.
Megbízható működés és hatékony párologtatás
A Home LHP400DT párásító betét az LHP400D léghűtő működésének kulcsfontosságú eleme, amely a víz elpárologtatásával járul hozzá a levegő hűsítéséhez. Az anyaga strapabíró, hosszú élettartamú, így rendszeres karbantartás mellett biztosítja a készülék tartós teljesítményét. Az optimális működés érdekében ajánlott időnként cserélni, hogy a léghűtő mindig maximális hatékonysággal üzemeljen.
Egyszerű csere és karbantartás
A betét kialakítása lehetővé teszi a könnyű és gyors cserét, így minimális időráfordítással biztosítható a léghűtő zavartalan működése. Az egyszerű karbantartásnak köszönhetően elkerülhetők a vízkőképződés és egyéb szennyeződések okozta problémák, amelyek csökkenthetnék a készülék teljesítményét.
Miért érdemes a Home LHP400DT párásító betétet választani?
- Tökéletes kompatibilitás a Home LHP400D léghűtővel
- Hatékony párologtatás a kellemesebb légáramlás érdekében
- Hosszú élettartamú, strapabíró anyag
- Egyszerű csere és karbantartás a folyamatos működésért
Gondoskodjon léghűtője hatékonyságáról! Válassza a Home LHP400DT párásító betétet, és élvezze a folyamatosan friss, hűvös levegőt otthonában vagy irodájában!</t>
        </is>
      </c>
    </row>
    <row r="164">
      <c r="A164" s="3" t="inlineStr">
        <is>
          <t>LHP 400</t>
        </is>
      </c>
      <c r="B164" s="2" t="inlineStr">
        <is>
          <t>Home LHP 400 léghűtő távirányítóval, 80 W, beépített víztartály, tartozék jégakkuk, párologtató betét, 3 fokozat</t>
        </is>
      </c>
      <c r="C164" s="1" t="n">
        <v>27990.0</v>
      </c>
      <c r="D164" s="7" t="n">
        <f>HYPERLINK("https://www.somogyi.hu/product/home-lhp-400-leghuto-taviranyitoval-80-w-beepitett-viztartaly-tartozek-jegakkuk-parologtato-betet-3-fokozat-lhp-400-16285","https://www.somogyi.hu/product/home-lhp-400-leghuto-taviranyitoval-80-w-beepitett-viztartaly-tartozek-jegakkuk-parologtato-betet-3-fokozat-lhp-400-16285")</f>
        <v>0.0</v>
      </c>
      <c r="E164" s="7" t="n">
        <f>HYPERLINK("https://www.somogyi.hu/data/img/product_main_images/small/16285.jpg","https://www.somogyi.hu/data/img/product_main_images/small/16285.jpg")</f>
        <v>0.0</v>
      </c>
      <c r="F164" s="2" t="inlineStr">
        <is>
          <t>5999084943172</t>
        </is>
      </c>
      <c r="G164" s="4" t="inlineStr">
        <is>
          <t>Van már otthoni hűtőkészüléke, amely gondoskodik a friss és hűvös levegőről energiatakarékos módon? A Home LHP 400 léghűtő a hatékonyság és kényelem záloga a meleg nyári napokon.
Ez a készülék egy beépített víztartállyal rendelkezik, amely hosszantartó hűtést biztosít anélkül, hogy gyakran kellene újratölteni. A csomagban található jégakkuk tovább fokozzák a hűtési teljesítményt, míg a cserélhető párologtató betét (LHP 400/T) garantálja, hogy a készülék mindig a legmagasabb hatékonysággal üzemeljen. A ventilátor teljesítménye három fokozatban szabályozható, így személyre szabhatja a hűtés intenzitását, míg a három különböző üzemmód – normál, természetes szél és elalvás – biztosítja, hogy minden szituációban megfelelő légáramlást élvezhessen.
A ventilátor lamellái igény szerint állíthatók, biztosítva a légáramlás egyenletes eloszlását a helyiségben. A kikapcsolásidőzítő funkciónak köszönhetően beállíthatja, hogy a készülék 1-7 óra múlva automatikusan kikapcsoljon, így akár éjszaka is nyugodtan pihenhet, anélkül, hogy a készülék egész éjjel működne. A távirányító révén a kényelmet a keze ügyébe helyezzük, így a készülék vezérlése még kényelmesebbé válik.
Az ergonomikus hordfül és a kerekek segítségével könnyen mozgatható a készülék, így bárhová magával viheti, ahol szükség van a hűvös levegőre. A Home LHP 400 léghűtő kompakt méreteivel tökéletes választás otthoni és irodai használatra egyaránt.
Fedezze fel a Home LHP 400 léghűtővel a kellemes komfortot, és élvezze a nyugodt, kellemes légkört. Rendelje meg most, és legyen kész a következő hőhullámra!</t>
        </is>
      </c>
    </row>
    <row r="165">
      <c r="A165" s="3" t="inlineStr">
        <is>
          <t>LH301A</t>
        </is>
      </c>
      <c r="B165" s="2" t="inlineStr">
        <is>
          <t>Home LH301A jégakku LH301, LHP400D léghűtőkhöz (2 db)</t>
        </is>
      </c>
      <c r="C165" s="1" t="n">
        <v>479.0</v>
      </c>
      <c r="D165" s="7" t="n">
        <f>HYPERLINK("https://www.somogyi.hu/product/home-lh301a-jegakku-lh301-lhp400d-leghutokhoz-2-db-lh301a-19034","https://www.somogyi.hu/product/home-lh301a-jegakku-lh301-lhp400d-leghutokhoz-2-db-lh301a-19034")</f>
        <v>0.0</v>
      </c>
      <c r="E165" s="7" t="n">
        <f>HYPERLINK("https://www.somogyi.hu/data/img/product_main_images/small/19034.jpg","https://www.somogyi.hu/data/img/product_main_images/small/19034.jpg")</f>
        <v>0.0</v>
      </c>
      <c r="F165" s="2" t="inlineStr">
        <is>
          <t>5999084970277</t>
        </is>
      </c>
      <c r="G165" s="4" t="inlineStr">
        <is>
          <t>Optimalizálja LHP400D léghűtője teljesítményét az LHP301A jégakkuval! Ez a könnyen cserélhető, hosszú ideig tartó hűtést biztosító jégakku gondoskodik róla, hogy otthona vagy irodája mindig kellemesen hűvös maradjon.
Tartós hűtés: Hatékonyan csökkenti a levegő hőmérsékletét
Egyszerű használat: Gyorsan és könnyedén cserélhető az LHP400D készülékben
Újratölthető design: Használat után fagyassza vissza, és máris újra bevethető
Tegye még hatékonyabbá léghűtőjét az LHP301A jégakkuval, és élvezze a frissítő hűsítést a forró napokon is!</t>
        </is>
      </c>
    </row>
    <row r="166">
      <c r="A166" s="3" t="inlineStr">
        <is>
          <t>LHP 400/T</t>
        </is>
      </c>
      <c r="B166" s="2" t="inlineStr">
        <is>
          <t>Home LH 400/T párásító betét LH 400 léghűtőhöz</t>
        </is>
      </c>
      <c r="C166" s="1" t="n">
        <v>1650.0</v>
      </c>
      <c r="D166" s="7" t="n">
        <f>HYPERLINK("https://www.somogyi.hu/product/home-lh-400-t-parasito-betet-lh-400-leghutohoz-lhp-400-t-16342","https://www.somogyi.hu/product/home-lh-400-t-parasito-betet-lh-400-leghutohoz-lhp-400-t-16342")</f>
        <v>0.0</v>
      </c>
      <c r="E166" s="7" t="n">
        <f>HYPERLINK("https://www.somogyi.hu/data/img/product_main_images/small/16342.jpg","https://www.somogyi.hu/data/img/product_main_images/small/16342.jpg")</f>
        <v>0.0</v>
      </c>
      <c r="F166" s="2" t="inlineStr">
        <is>
          <t>5999084943745</t>
        </is>
      </c>
      <c r="G166" s="4" t="inlineStr">
        <is>
          <t>Elhasználódott a Home LHP 400 készüléke párásító betétje? Ez a speciálisan tervezett párásító betét kifejezetten ezen léghűtőhöz lett megalkotva, biztosítva a zökkenőmentes illeszkedést és maximális hatékonyságot. 
Az egyszerű cserélhetőségnek köszönhetően az új párásító betéttel folyamatosan fenntarthatja a készülék optimális működését, és biztosíthatja az egészséges páratartalmat a levegőben. A párásító betét nem csupán a hűtési folyamatot teszi hatékonyabbá, hanem hozzájárul a levegő tisztaságának megőrzéséhez is, megkönnyítve ezzel a légzést és elősegítve a kellemes belső környezet kialakítását. A párásító betét cseréjét egyszerűen és gyorsan elvégezheti, nem igényel szakértelmet vagy bonyolult karbantartási folyamatot.
Válassza a Home LHP 400/T párásító betétet, hogy a Home LHP 400 léghűtője mindig a legjobb formáját hozza! Ne hagyja, hogy a készüléke teljesítménye idővel csökkenjen; gondoskodjon róla, hogy folyamatosan friss és hűvös levegő töltse be otthonát.</t>
        </is>
      </c>
    </row>
    <row r="167">
      <c r="A167" s="3" t="inlineStr">
        <is>
          <t>LH 300/T</t>
        </is>
      </c>
      <c r="B167" s="2" t="inlineStr">
        <is>
          <t>Home LH 300/T párásító betét LH 300 léghűtőhöz</t>
        </is>
      </c>
      <c r="C167" s="1" t="n">
        <v>1550.0</v>
      </c>
      <c r="D167" s="7" t="n">
        <f>HYPERLINK("https://www.somogyi.hu/product/home-lh-300-t-parasito-betet-lh-300-leghutohoz-lh-300-t-14596","https://www.somogyi.hu/product/home-lh-300-t-parasito-betet-lh-300-leghutohoz-lh-300-t-14596")</f>
        <v>0.0</v>
      </c>
      <c r="E167" s="7" t="n">
        <f>HYPERLINK("https://www.somogyi.hu/data/img/product_main_images/small/14596.jpg","https://www.somogyi.hu/data/img/product_main_images/small/14596.jpg")</f>
        <v>0.0</v>
      </c>
      <c r="F167" s="2" t="inlineStr">
        <is>
          <t>5999084926380</t>
        </is>
      </c>
      <c r="G167" s="4" t="inlineStr">
        <is>
          <t>Elhasználódott a Home LH 300 készüléke párásító betétje? Ez a speciálisan tervezett párásító betét kifejezetten ezen léghűtőhöz lett megalkotva, biztosítva a zökkenőmentes illeszkedést és maximális hatékonyságot. 
Az egyszerű cserélhetőségnek köszönhetően az új párásító betéttel folyamatosan fenntarthatja a készülék optimális működését, és biztosíthatja az egészséges páratartalmat a levegőben. A párásító betét nem csupán a hűtési folyamatot teszi hatékonyabbá, hanem hozzájárul a levegő tisztaságának megőrzéséhez is, megkönnyítve ezzel a légzést és elősegítve a kellemes belső környezet kialakítását. A párásító betét cseréjét egyszerűen és gyorsan elvégezheti, nem igényel szakértelmet vagy bonyolult karbantartási folyamatot.
Válassza a Home LH 300/T párásító betétet, hogy a Home LH 300 léghűtője mindig a legjobb formáját hozza! Ne hagyja, hogy a készüléke teljesítménye idővel csökkenjen; gondoskodjon róla, hogy folyamatosan friss és hűvös levegő töltse be otthonát.</t>
        </is>
      </c>
    </row>
    <row r="168">
      <c r="A168" s="3" t="inlineStr">
        <is>
          <t>LH301</t>
        </is>
      </c>
      <c r="B168" s="2" t="inlineStr">
        <is>
          <t>Home LH301 léghűtő, 3 literes víztartály, 3 fokozat, párologtató betét, kereken gördíthető, 80 W</t>
        </is>
      </c>
      <c r="C168" s="1" t="n">
        <v>20990.0</v>
      </c>
      <c r="D168" s="7" t="n">
        <f>HYPERLINK("https://www.somogyi.hu/product/home-lh301-leghuto-3-literes-viztartaly-3-fokozat-parologtato-betet-kereken-gorditheto-80-w-lh301-18984","https://www.somogyi.hu/product/home-lh301-leghuto-3-literes-viztartaly-3-fokozat-parologtato-betet-kereken-gorditheto-80-w-lh301-18984")</f>
        <v>0.0</v>
      </c>
      <c r="E168" s="7" t="n">
        <f>HYPERLINK("https://www.somogyi.hu/data/img/product_main_images/small/18984.jpg","https://www.somogyi.hu/data/img/product_main_images/small/18984.jpg")</f>
        <v>0.0</v>
      </c>
      <c r="F168" s="2" t="inlineStr">
        <is>
          <t>5999084969783</t>
        </is>
      </c>
      <c r="G168" s="4" t="inlineStr">
        <is>
          <t>Hogyan teheti kellemesebbé és frissebbé otthonának levegőjét a forró nyári napokon?
A Home LH301 léghűtő kiváló megoldás zárt légterek hűvösen tartására és a levegő frissítésére. Innovatív párologtatási technológiájának köszönhetően a berendezés hideg víz elpárologtatásával csökkenti a hőérzetet, így kellemesebb közérzetet biztosít a forró nyári napokon. A háromfokozatú ventilátor szabályozható teljesítménnyel működik, míg a kapcsolható légterelő lamellák biztosítják a hűsítő levegő egyenletes eloszlatását a helyiségben.
Hatékony és energiatakarékos hűtés
- 3 literes beépített víztartály – folyamatos működés hosszabb időn keresztül
- Hideg víz párologtatásával hűsíti a levegőt – kellemes közérzetet biztosít
- Tartozék jégakkuk (Home LH301A) – még intenzívebb hűtési hatás érdekében
- Cserélhető párologtató betét (Home LH301T) – a hatékony és higiénikus működésért
Egyszerű és kényelmes használat
- Szabályozható ventilátorsebesség (3 fokozat) – egyéni igényekhez igazítható légáramlás
- Kapcsolható légterelő lamellák – irányítható és egyenletes légeloszlás
- Könnyen hordozható és mozgatható – ergonomikus hordfüllel és gördíthető kerekekkel ellátva
- Befékezhető kerekek – biztos és stabil elhelyezés a kívánt helyen
Műszaki adatok
- Hangteljesítményszint: LWA = 58,5 dB (A)
- Tápellátás: 220-240 V~ / 50-60 Hz / 80 W
- Méret: 25 x 58 x 28 cm
- Készülék üres tömege: 3,7 kg
Miért érdemes a Home LH301 léghűtőt választani?
- Energiatakarékos hűtési megoldás – alacsony fogyasztás mellett is hatékony
- Hordozható és könnyen mozgatható kialakítás – bárhol használható a lakásban vagy az irodában
- Egyszerű kezelés és karbantartás – cserélhető párologtató betéttel és jégakkuval
- Friss és kellemes közérzetet biztosít – különösen a forró nyári hónapokban
Tegye elviselhetőbbé a nyári meleget a Home LH301 léghűtővel, és élvezze a kellemesen hűvös otthoni környezetet minden nap!</t>
        </is>
      </c>
    </row>
    <row r="169">
      <c r="A169" s="3" t="inlineStr">
        <is>
          <t>LH 5/T</t>
        </is>
      </c>
      <c r="B169" s="2" t="inlineStr">
        <is>
          <t>Home LH 5/T párásító betét LH 5 mini léghűtőhöz</t>
        </is>
      </c>
      <c r="C169" s="1" t="n">
        <v>1090.0</v>
      </c>
      <c r="D169" s="7" t="n">
        <f>HYPERLINK("https://www.somogyi.hu/product/home-lh-5-t-parasito-betet-lh-5-mini-leghutohoz-lh-5-t-17802","https://www.somogyi.hu/product/home-lh-5-t-parasito-betet-lh-5-mini-leghutohoz-lh-5-t-17802")</f>
        <v>0.0</v>
      </c>
      <c r="E169" s="7" t="n">
        <f>HYPERLINK("https://www.somogyi.hu/data/img/product_main_images/small/17802.jpg","https://www.somogyi.hu/data/img/product_main_images/small/17802.jpg")</f>
        <v>0.0</v>
      </c>
      <c r="F169" s="2" t="inlineStr">
        <is>
          <t>5999084958244</t>
        </is>
      </c>
      <c r="G169" s="4" t="inlineStr">
        <is>
          <t>Elhasználódott a Home LH 5 mini készüléke párásító betétje? Ez a speciálisan tervezett párásító betét kifejezetten ezen léghűtőhöz lett megalkotva, biztosítva a zökkenőmentes illeszkedést és maximális hatékonyságot. 
Az egyszerű cserélhetőségnek köszönhetően az új párásító betéttel folyamatosan fenntarthatja a készülék optimális működését, és biztosíthatja az egészséges páratartalmat a levegőben. A párásító betét nem csupán a hűtési folyamatot teszi hatékonyabbá, hanem hozzájárul a levegő tisztaságának megőrzéséhez is, megkönnyítve ezzel a légzést és elősegítve a kellemes belső környezet kialakítását. A párásító betét cseréjét egyszerűen és gyorsan elvégezheti, nem igényel szakértelmet vagy bonyolult karbantartási folyamatot.
Válassza a Home LH 5/T párásító betétet, hogy a Home LH 5 mini léghűtője mindig a legjobb formáját hozza! Ne hagyja, hogy a készüléke teljesítménye idővel csökkenjen; gondoskodjon róla, hogy folyamatosan friss és hűvös levegő töltse be otthonát.</t>
        </is>
      </c>
    </row>
    <row r="170">
      <c r="A170" s="3" t="inlineStr">
        <is>
          <t>LHP400D</t>
        </is>
      </c>
      <c r="B170" s="2" t="inlineStr">
        <is>
          <t>Home LHP400D léghűtő távirányítóval, 80 W, beépített víztartály, tartozék jégakkuk, párologtató betét, 3 fokozat</t>
        </is>
      </c>
      <c r="C170" s="1" t="n">
        <v>22890.0</v>
      </c>
      <c r="D170" s="7" t="n">
        <f>HYPERLINK("https://www.somogyi.hu/product/home-lhp400d-leghuto-taviranyitoval-80-w-beepitett-viztartaly-tartozek-jegakkuk-parologtato-betet-3-fokozat-lhp400d-18983","https://www.somogyi.hu/product/home-lhp400d-leghuto-taviranyitoval-80-w-beepitett-viztartaly-tartozek-jegakkuk-parologtato-betet-3-fokozat-lhp400d-18983")</f>
        <v>0.0</v>
      </c>
      <c r="E170" s="7" t="n">
        <f>HYPERLINK("https://www.somogyi.hu/data/img/product_main_images/small/18983.jpg","https://www.somogyi.hu/data/img/product_main_images/small/18983.jpg")</f>
        <v>0.0</v>
      </c>
      <c r="F170" s="2" t="inlineStr">
        <is>
          <t>5999084969776</t>
        </is>
      </c>
      <c r="G170" s="4" t="inlineStr">
        <is>
          <t>Hogyan biztosíthat kellemesebb klímát otthonában a forró nyári napokon?
A Home LHP400D léghűtő ideális választás zárt légterek felfrissítésére és hűtésére. A hideg víz párologtatásának köszönhetően hatékonyan csökkenti a levegő hőmérsékletét, miközben kellemes, friss közérzetet biztosít. A készülék nemcsak modern és könnyen használható, hanem érintőgombokkal és távirányítóval is vezérelhető, így még kényelmesebbé teszi a mindennapokat.
Intelligens léghűtés és kényelem egy készülékben
A Home LHP400D három különböző ventilátorfokozattal rendelkezik, így a légáramlás egyéni igények szerint szabályozható. A készülék háromféle üzemmóddal működik: normál, természetes szél és alvó mód, amelyek biztosítják a felhasználó számára a maximális komfortot a nap minden szakában. Az eszköz képes környezetbarát módon, hideg víz elpárologtatásával hűteni a levegőt, amely természetesebb és kíméletesebb megoldást nyújt a hagyományos klímaberendezésekkel szemben. A kapcsolható légterelő lamellák segítenek a hűvös levegő egyenletes eloszlatásában, így az egész helyiségben kellemes klímát teremt.
Kényelmes és energiatakarékos használat
A modern érintőgombokkal és távirányítóval ellátott kezelőfelület lehetővé teszi a gyors és egyszerű vezérlést anélkül, hogy a készülékhez kellene lépni. Az időzített kikapcsolás funkcióval a használat még kényelmesebbé válik, hiszen 0,5 és 15,5 óra között állítható be az automatikus leállás, ami nemcsak praktikus, hanem energiát is megtakarít. A léghűtő cserélhető párologtató betéttel (Home LHP400DT) rendelkezik, amely biztosítja a hosszú távú higiénikus működést. A készülék rendkívül halk, mindössze 50,2 dB(A) zajszinten üzemel, így nem zavarja a pihenést vagy a munkát.
Mobil és könnyen kezelhető
A Home LHP400D beépített, 3,2 literes víztartállyal van ellátva, amely hosszabb üzemidőt tesz lehetővé kevesebb utántöltéssel. A csomagban található két jégakku (Home LH301A) tovább fokozza a hűtőhatást, így még frissebb levegőt biztosít a helyiségben. A készülék könnyedén mozgatható a strapabíró kerekeknek köszönhetően, amelyek rögzíthetők is a stabilabb elhelyezés érdekében. Kompakt és letisztult dizájnja miatt bármilyen otthonban vagy irodában esztétikusan illeszkedik a környezetbe.
Miért érdemes a Home LHP400D léghűtőt választani?
- Hatékony léghűtés környezetbarát párologtatással
- Könnyű vezérlés érintőgombokkal és távirányítóval
- Mobil, praktikus és energiatakarékos megoldás
- Halk működés és időzített kikapcsolás a zavartalan pihenés érdekében
Ne hagyja, hogy a forróság elrontsa a komfortérzetét! Válassza a Home LHP400D léghűtőt, és élvezze a kellemesen hűvös levegőt otthonában vagy irodájában!</t>
        </is>
      </c>
    </row>
    <row r="171">
      <c r="A171" s="3" t="inlineStr">
        <is>
          <t>LHP 800i/T</t>
        </is>
      </c>
      <c r="B171" s="2" t="inlineStr">
        <is>
          <t>Home LHP 800i/T párásító betét LHP 800i léghűtőhöz</t>
        </is>
      </c>
      <c r="C171" s="1" t="n">
        <v>1990.0</v>
      </c>
      <c r="D171" s="7" t="n">
        <f>HYPERLINK("https://www.somogyi.hu/product/home-lhp-800i-t-parasito-betet-lhp-800i-leghutohoz-lhp-800i-t-17259","https://www.somogyi.hu/product/home-lhp-800i-t-parasito-betet-lhp-800i-leghutohoz-lhp-800i-t-17259")</f>
        <v>0.0</v>
      </c>
      <c r="E171" s="7" t="n">
        <f>HYPERLINK("https://www.somogyi.hu/data/img/product_main_images/small/17259.jpg","https://www.somogyi.hu/data/img/product_main_images/small/17259.jpg")</f>
        <v>0.0</v>
      </c>
      <c r="F171" s="2" t="inlineStr">
        <is>
          <t>5999084952815</t>
        </is>
      </c>
      <c r="G171" s="4" t="inlineStr">
        <is>
          <t>Elhasználódott a Home LHP 800i készüléke párásító betétje? Ez a speciálisan tervezett párásító betét kifejezetten ezen léghűtőhöz lett megalkotva, biztosítva a zökkenőmentes illeszkedést és maximális hatékonyságot. 
Az egyszerű cserélhetőségnek köszönhetően az új párásító betéttel folyamatosan fenntarthatja a készülék optimális működését, és biztosíthatja az egészséges páratartalmat a levegőben. A párásító betét nem csupán a hűtési folyamatot teszi hatékonyabbá, hanem hozzájárul a levegő tisztaságának megőrzéséhez is, megkönnyítve ezzel a légzést és elősegítve a kellemes belső környezet kialakítását. A párásító betét cseréjét egyszerűen és gyorsan elvégezheti, nem igényel szakértelmet vagy bonyolult karbantartási folyamatot.
Válassza a LHP 800i/T párásító betétet, hogy a Home LHP 800i léghűtője mindig a legjobb formáját hozza! Ne hagyja, hogy a készüléke teljesítménye idővel csökkenjen; gondoskodjon róla, hogy folyamatosan friss és hűvös levegő töltse be otthonát.</t>
        </is>
      </c>
    </row>
    <row r="172">
      <c r="A172" s="3" t="inlineStr">
        <is>
          <t>LH 300</t>
        </is>
      </c>
      <c r="B172" s="2" t="inlineStr">
        <is>
          <t>Home LH 300 léghűtő, 3 literes víztartály, 3 fokozat, párologtató betét, kereken gördíthető, 80 W</t>
        </is>
      </c>
      <c r="C172" s="1" t="n">
        <v>24190.0</v>
      </c>
      <c r="D172" s="7" t="n">
        <f>HYPERLINK("https://www.somogyi.hu/product/home-lh-300-leghuto-3-literes-viztartaly-3-fokozat-parologtato-betet-kereken-gorditheto-80-w-lh-300-14420","https://www.somogyi.hu/product/home-lh-300-leghuto-3-literes-viztartaly-3-fokozat-parologtato-betet-kereken-gorditheto-80-w-lh-300-14420")</f>
        <v>0.0</v>
      </c>
      <c r="E172" s="7" t="n">
        <f>HYPERLINK("https://www.somogyi.hu/data/img/product_main_images/small/14420.jpg","https://www.somogyi.hu/data/img/product_main_images/small/14420.jpg")</f>
        <v>0.0</v>
      </c>
      <c r="F172" s="2" t="inlineStr">
        <is>
          <t>5999084924683</t>
        </is>
      </c>
      <c r="G172" s="4" t="inlineStr">
        <is>
          <t>Gondolkodott már azon, hogyan varázsolhatná otthonát egy szempillantás alatt hűvösebbé? A Home LH 300 léghűtő nem csupán hűsít, de megújítja és frissíti a levegőt otthonában vagy munkahelyén.
A léghűtő beépített, 3 literes víztartályával és a mellékelt jégakkukkal biztosítja a tartós és hatékony hűtést. A cserélhető párologtatóbetét (LH 300/T) a levegő minőségét is javítja, miközben a készülék szabályozható ventilátorteljesítménye, mely három különböző fokozatban állítható, minden igényt kielégít. A kapcsolható légterelő lamellák irányíthatják a hűs légáramot pontosan oda, ahol Önnek szüksége van rá.
A kényelmes használatot az ergonomikus hordfül és a kerekek biztosítják, melyeken a léghűtő könnyedén mozgatható és szükség esetén befékezhető. Az 230V~/50Hz/80W tápellátással működő készülék méretei (25x58x28 cm) tökéletesen illeszkednek bármilyen enteriőrbe, nem igényel nagy helyet és zavaró zaj nélkül hűsít.
Ismerje meg a Home LH 300 léghűtő által nyújtott kellemes klímát, és hozza el a kényelmet otthonába! Felejtse el a nyári hőség okozta nyugtalanságot, és élvezze a folyamatosan friss és hűs levegőt!</t>
        </is>
      </c>
    </row>
    <row r="173">
      <c r="A173" s="6" t="inlineStr">
        <is>
          <t xml:space="preserve">   Hűtés / Oszlopventilátor</t>
        </is>
      </c>
      <c r="B173" s="6" t="inlineStr">
        <is>
          <t/>
        </is>
      </c>
      <c r="C173" s="6" t="inlineStr">
        <is>
          <t/>
        </is>
      </c>
      <c r="D173" s="6" t="inlineStr">
        <is>
          <t/>
        </is>
      </c>
      <c r="E173" s="6" t="inlineStr">
        <is>
          <t/>
        </is>
      </c>
      <c r="F173" s="6" t="inlineStr">
        <is>
          <t/>
        </is>
      </c>
      <c r="G173" s="6" t="inlineStr">
        <is>
          <t/>
        </is>
      </c>
    </row>
    <row r="174">
      <c r="A174" s="3" t="inlineStr">
        <is>
          <t>TWFR 110</t>
        </is>
      </c>
      <c r="B174" s="2" t="inlineStr">
        <is>
          <t>Home TWFR 110 oszlopventilátor, 45 W, 110 cm, 3 fokozat, 50°-os oszcillálás, távirányító, fehér</t>
        </is>
      </c>
      <c r="C174" s="1" t="n">
        <v>31790.0</v>
      </c>
      <c r="D174" s="7" t="n">
        <f>HYPERLINK("https://www.somogyi.hu/product/home-twfr-110-oszlopventilator-45-w-110-cm-3-fokozat-50-os-oszcillalas-taviranyito-feher-twfr-110-16746","https://www.somogyi.hu/product/home-twfr-110-oszlopventilator-45-w-110-cm-3-fokozat-50-os-oszcillalas-taviranyito-feher-twfr-110-16746")</f>
        <v>0.0</v>
      </c>
      <c r="E174" s="7" t="n">
        <f>HYPERLINK("https://www.somogyi.hu/data/img/product_main_images/small/16746.jpg","https://www.somogyi.hu/data/img/product_main_images/small/16746.jpg")</f>
        <v>0.0</v>
      </c>
      <c r="F174" s="2" t="inlineStr">
        <is>
          <t>5999084947781</t>
        </is>
      </c>
      <c r="G174" s="4" t="inlineStr">
        <is>
          <t>Képzelje el, hogy egy elegáns, karcsú oszlopventilátor hűsítő szellőjével enyhíti a nyári hőséget otthonában. A Home TWFR 110 oszlopventilátor nem csak helytakarékos megoldás, hanem kifinomult stílust is visz a környezetébe.
Ez a magas, kis helyigényű oszlopventilátor tökéletes választás azok számára, akik optimálisan szeretnék kihasználni a rendelkezésre álló teret. Az érintőpanel és a távirányító segítségével rendkívül egyszerű a kezelése, így Ön akár a kanapéról is könnyedén szabályozhatja a beállításokat. A három különböző üzemmód – normál, természetes és alvó – széles skálát kínál, hogy minden igényhez illeszkedjen, legyen szó intenzív hűtésről vagy halk, alvást nem zavaró működésről.
A ventilátor három sebességfokozata biztosítja, hogy mindig a kívánt légáramlást kapja, míg az 1-től 15 óráig beállítható időzítővel előre tervezheti a kikapcsolás időpontját, így még energiatakarékosabbá téve a készüléket. A 50°-ban kapcsolható oszcilláció pedig lehetővé teszi, hogy a hűsítő szellő minden irányban elérje a helyiség részeit.
A 230V~/50Hz/45W tápellátású Home TWFR 110 oszlopventilátor méretei (∅17x112cm) és súlya (3,8kg) révén könnyen mozgatható, és bárhová illeszkedik, ahol csak szükség van a friss levegőre.
Válassza a Home TWFR 110 oszlopventilátort, amely modern megjelenésével és teljesítményével tökéletes kiegészítője lesz otthonának. Élvezze a folyamatosan kellemes klímát a hőség legnagyobb tetőpontján is! Rendelje meg most, és hűsöljön stílusosan a nyári napokon.</t>
        </is>
      </c>
    </row>
    <row r="175">
      <c r="A175" s="3" t="inlineStr">
        <is>
          <t>TWF822</t>
        </is>
      </c>
      <c r="B175" s="2" t="inlineStr">
        <is>
          <t>Home TWF822 oszlopventilátor, 45 W, 3 sebességfokozat, oszcillálás, nagy méretű kijelző, hordfül</t>
        </is>
      </c>
      <c r="C175" s="1" t="n">
        <v>15890.0</v>
      </c>
      <c r="D175" s="7" t="n">
        <f>HYPERLINK("https://www.somogyi.hu/product/home-twf822-oszlopventilator-45-w-3-sebessegfokozat-oszcillalas-nagy-meretu-kijelzo-hordful-twf822-18988","https://www.somogyi.hu/product/home-twf822-oszlopventilator-45-w-3-sebessegfokozat-oszcillalas-nagy-meretu-kijelzo-hordful-twf822-18988")</f>
        <v>0.0</v>
      </c>
      <c r="E175" s="7" t="n">
        <f>HYPERLINK("https://www.somogyi.hu/data/img/product_main_images/small/18988.jpg","https://www.somogyi.hu/data/img/product_main_images/small/18988.jpg")</f>
        <v>0.0</v>
      </c>
      <c r="F175" s="2" t="inlineStr">
        <is>
          <t>5999084969820</t>
        </is>
      </c>
      <c r="G175" s="4" t="inlineStr">
        <is>
          <t>Hogyan biztosíthatja otthona kellemes hőmérsékletét egy helytakarékos és könnyen használható ventilátorral? 
A Home TWF822 oszlopventilátor tökéletes választás, ha hatékony és kényelmes megoldást keres a meleg nyári napokon. Kompakt kialakításának, egyszerű vezérlésének és praktikus hordfülének köszönhetően ideális választás bármely otthonba vagy irodába.
Hatékony hűtés három sebességfokozattal 
A ventilátor három különböző sebességfokozatot kínál, amelyek könnyedén igazíthatók az igényekhez. Legyen szó frissítő szellőről vagy erőteljesebb légáramról, a készülék minden helyzetben biztosítja a megfelelő teljesítményt. A kapcsolható oszcilláló funkció lehetővé teszi, hogy a levegő egyenletesen oszoljon el a helyiségben, növelve a hatékonyságot.
Egyszerű használat és ergonomikus kialakítás 
A ventilátor forgatógombos vezérlése egyszerű és intuitív, így bárki könnyedén beállíthatja a kívánt üzemmódot. Az ergonomikus hordfül megkönnyíti a ventilátor áthelyezését egyik helyiségből a másikba, miközben a kompakt méret (Ø280 x 790 mm) biztosítja, hogy a készülék minimális helyet foglaljon el.
Modern dizájn és tartós kivitel 
A készülék elegáns és letisztult megjelenése bármely enteriőrbe illeszkedik. A könnyű szerkezet (2,75 kg) ellenére masszív és tartós kialakítással rendelkezik, amely hosszú távon is megbízható működést biztosít. A ventilátor kis helyigénye különösen előnyös kisebb szobákban vagy irodákban.
Miért válassza a Home TWF822 oszlopventilátort?
 – Hatékony hűtés három sebességfokozattal és kapcsolható oszcillációval. 
– Egyszerű, forgatógombos vezérlés a kényelmes használatért. 
– Kompakt kialakítás, amely kis helyet foglal el otthonában vagy irodájában. 
– Könnyen hordozható, ergonomikus kialakítású hordfüllel. 
– Modern és elegáns megjelenés, amely minden belső térhez illik.
Tegye otthonát vagy irodáját kellemesebbé a Home TWF822 oszlopventilátorral! Rendelje meg most, és élvezze a frissítő levegőt a forró nyári napokon!</t>
        </is>
      </c>
    </row>
    <row r="176">
      <c r="A176" s="3" t="inlineStr">
        <is>
          <t>TWFR78</t>
        </is>
      </c>
      <c r="B176" s="2" t="inlineStr">
        <is>
          <t>Home TWFR78 oszlopventilátor, 45 W, 3 sebességfokozat, távirányító, kikapcsolás időzítés, oszcillálás</t>
        </is>
      </c>
      <c r="C176" s="1" t="n">
        <v>16390.0</v>
      </c>
      <c r="D176" s="7" t="n">
        <f>HYPERLINK("https://www.somogyi.hu/product/home-twfr78-oszlopventilator-45-w-3-sebessegfokozat-taviranyito-kikapcsolas-idozites-oszcillalas-twfr78-18986","https://www.somogyi.hu/product/home-twfr78-oszlopventilator-45-w-3-sebessegfokozat-taviranyito-kikapcsolas-idozites-oszcillalas-twfr78-18986")</f>
        <v>0.0</v>
      </c>
      <c r="E176" s="7" t="n">
        <f>HYPERLINK("https://www.somogyi.hu/data/img/product_main_images/small/18986.jpg","https://www.somogyi.hu/data/img/product_main_images/small/18986.jpg")</f>
        <v>0.0</v>
      </c>
      <c r="F176" s="2" t="inlineStr">
        <is>
          <t>5999084969806</t>
        </is>
      </c>
      <c r="G176" s="4" t="inlineStr">
        <is>
          <t>Hogyan teheti kényelmesebbé és hűvösebbé otthonát a forró nyári napokon? 
A Home TWFR78 oszlopventilátor a modern dizájn és a praktikus funkciók tökéletes kombinációját kínálja, hogy Ön kellemesebben érezze magát még a legmelegebb időszakokban is. Az érintőgombos és távirányítós vezérlés, a különféle üzemmódok és a nagy méretű kijelző minden felhasználói igényt kielégít.
Hatékony hűtés 3 sebességfokozattal 
A ventilátor három különböző sebességfokozata lehetővé teszi, hogy az igényeinek megfelelően szabályozza a légáramlás intenzitását. Akár frissítő szellőre, akár erőteljesebb hűtésre vágyik, a készülék minden helyzetben megoldást nyújt. A normál üzemmód mellett az éjszakai üzemmód halk működést biztosít, amely zavartalan alvást garantál.
Kényelmes vezérlés és programozhatóság 
Az érintőgombokkal és távirányítóval egyszerűen vezérelheti a készüléket, még a szoba másik feléből is. A nagy méretű kijelzőn könnyedén nyomon követheti a beállításokat és a szobahőmérsékletet. A kikapcsolás időzítő segítségével 1 és 12 óra között állíthatja be a működési időt, így energiatakarékosabb használatot biztosít.
Kapcsolható oszcillálás a hatékony légelosztásért 
A készülék oszcilláló funkciója egyenletesen osztja el a levegőt a szobában, így nagyobb területet képes hatékonyan hűteni. Ez különösen hasznos nagyobb helyiségekben, ahol több ember számára is kényelmet biztosít.
Modern dizájn és könnyű szerkezet 
A ventilátor kompakt mérete (Ø215 x 780 mm) és könnyű szerkezete (2,3 kg) lehetővé teszi, hogy egyszerűen mozgatható legyen a lakás különböző helyiségei között. A modern megjelenés és a letisztult kialakítás bármely otthonba könnyedén illeszkedik.
Miért válassza a Home TWFR78 oszlopventilátort?
 – Hatékony és energiatakarékos hűtés három sebességfokozattal. 
– Kényelmes távirányítós vezérlés és érintőgombos kezelés. 
– Időzítő és éjszakai üzemmód a zavartalan pihenés érdekében. 
– Kompakt és könnyen mozgatható kialakítás. 
– Kapcsolható oszcilláció a nagyobb légelosztásért.
Tegye kellemesebbé otthoni környezetét a Home TWFR78 oszlopventilátorral! Rendelje meg most, és élvezze a frissítő hűs levegőt a nyári hónapokban is!</t>
        </is>
      </c>
    </row>
    <row r="177">
      <c r="A177" s="3" t="inlineStr">
        <is>
          <t>TWFR100B</t>
        </is>
      </c>
      <c r="B177" s="2" t="inlineStr">
        <is>
          <t>Home TWFR100B oszlopventilátor, 45 W, 3 sebességfokozat, távirányító, kikapcsolás időzítés, oszcillálás, nagy méretű kijelző</t>
        </is>
      </c>
      <c r="C177" s="1" t="n">
        <v>19390.0</v>
      </c>
      <c r="D177" s="7" t="n">
        <f>HYPERLINK("https://www.somogyi.hu/product/home-twfr100b-oszlopventilator-45-w-3-sebessegfokozat-taviranyito-kikapcsolas-idozites-oszcillalas-nagy-meretu-kijelzo-twfr100b-18987","https://www.somogyi.hu/product/home-twfr100b-oszlopventilator-45-w-3-sebessegfokozat-taviranyito-kikapcsolas-idozites-oszcillalas-nagy-meretu-kijelzo-twfr100b-18987")</f>
        <v>0.0</v>
      </c>
      <c r="E177" s="7" t="n">
        <f>HYPERLINK("https://www.somogyi.hu/data/img/product_main_images/small/18987.jpg","https://www.somogyi.hu/data/img/product_main_images/small/18987.jpg")</f>
        <v>0.0</v>
      </c>
      <c r="F177" s="2" t="inlineStr">
        <is>
          <t>5999084969813</t>
        </is>
      </c>
      <c r="G177" s="4" t="inlineStr">
        <is>
          <t>Hogyan biztosíthatja a tökéletes légáramlást és kényelmet egy modern oszlopventilátor segítségével? 
A Home TWFR100B oszlopventilátor a stílusos megjelenést és a sokoldalú funkciókat ötvözi, hogy a forró nyári napokat is kényelmesen átvészelhesse. Az érintőgombokkal és távirányítóval vezérelhető készülék három sebességfokozattal és különböző üzemmódokkal gondoskodik az otthonában a frissítő levegőről.
Három sebességfokozat és változatos üzemmódok 
A ventilátor három különböző sebességfokozatot kínál, amelyek között egyszerűen választhat, hogy az igényeinek megfelelő légáramlást biztosítsa. A készülék háromféle üzemmódja – normál, természetes szél és éjszakai üzemmód– lehetővé teszi, hogy a nap bármely szakában a megfelelő légáramlást élvezhesse. Az éjszakai üzemmód halk működést biztosít, hogy zavartalanul pihenhessen, míg a természetes szél üzemmód a szellőzés természetes érzetét kelti.
Egyszerű vezérlés és időzítés 
A nagy méretű kijelző könnyedén olvasható, így egyszerűen ellenőrizheti az aktuális beállításokat. A ventilátor érintőgombokkal és távirányítóval vezérelhető, ami maximális kényelmet biztosít, hiszen akár a kanapéról is szabályozhatja a készüléket. A kikapcsolás időzítés 0,5 és 7,5 óra között állítható, így Ön energiatakarékosan használhatja a készüléket, miközben nyugodtan pihenhet.
Hatékony oszcillálás és kompakt kialakítás
 A készülék kapcsolható oszcilláló funkciója segít a légáramlás egyenletes elosztásában, így nagyobb helyiségekben is kellemes hőmérsékletet biztosít. Kompakt méretei (245 x 790 x 245 mm) és könnyű szerkezete (2,7 kg) révén egyszerűen áthelyezhető, és bármely helyiségben diszkréten elhelyezhető. A modern dizájn minden otthonba illeszkedik, miközben a ventilátor csendesen végzi a dolgát.
Miért válassza a Home TWFR100B oszlopventilátort? 
– Modern kialakítás, amely bármely enteriőrbe illeszkedik. 
– Három sebességfokozat és változatos üzemmódok a maximális kényelem érdekében.
 – Egyszerű vezérlés érintőgombokkal és távirányítóval. 
– Kapcsolható oszcillálás a nagyobb légelosztásért. 
– Kompakt és könnyű kialakítás a könnyű áthelyezéshez.
Tegye kellemesebbé otthonát a Home TWFR100B oszlopventilátorral, és élvezze a frissítő levegőt bármikor, amikor csak szüksége van rá!</t>
        </is>
      </c>
    </row>
    <row r="178">
      <c r="A178" s="6" t="inlineStr">
        <is>
          <t xml:space="preserve">   Hűtés / Állóventilátor</t>
        </is>
      </c>
      <c r="B178" s="6" t="inlineStr">
        <is>
          <t/>
        </is>
      </c>
      <c r="C178" s="6" t="inlineStr">
        <is>
          <t/>
        </is>
      </c>
      <c r="D178" s="6" t="inlineStr">
        <is>
          <t/>
        </is>
      </c>
      <c r="E178" s="6" t="inlineStr">
        <is>
          <t/>
        </is>
      </c>
      <c r="F178" s="6" t="inlineStr">
        <is>
          <t/>
        </is>
      </c>
      <c r="G178" s="6" t="inlineStr">
        <is>
          <t/>
        </is>
      </c>
    </row>
    <row r="179">
      <c r="A179" s="3" t="inlineStr">
        <is>
          <t>SF45</t>
        </is>
      </c>
      <c r="B179" s="2" t="inlineStr">
        <is>
          <t>Home SF45 álló fém ventilátor, 60 W, 45 cm névleges lapátátmérő, 4 lapát, 3 fokozat, oszcillálás, állítható magasság és dőlésszög</t>
        </is>
      </c>
      <c r="C179" s="1" t="n">
        <v>30190.0</v>
      </c>
      <c r="D179" s="7" t="n">
        <f>HYPERLINK("https://www.somogyi.hu/product/home-sf45-allo-fem-ventilator-60-w-45-cm-nevleges-lapatatmero-4-lapat-3-fokozat-oszcillalas-allithato-magassag-es-dolesszog-sf45-18379","https://www.somogyi.hu/product/home-sf45-allo-fem-ventilator-60-w-45-cm-nevleges-lapatatmero-4-lapat-3-fokozat-oszcillalas-allithato-magassag-es-dolesszog-sf45-18379")</f>
        <v>0.0</v>
      </c>
      <c r="E179" s="7" t="n">
        <f>HYPERLINK("https://www.somogyi.hu/data/img/product_main_images/small/18379.jpg","https://www.somogyi.hu/data/img/product_main_images/small/18379.jpg")</f>
        <v>0.0</v>
      </c>
      <c r="F179" s="2" t="inlineStr">
        <is>
          <t>5999084963972</t>
        </is>
      </c>
      <c r="G179" s="4" t="inlineStr">
        <is>
          <t>Egy elegáns, mégis hatékony megoldást keres a nyári hőség leküzdésére? 
A Home SF45 álló fém ventilátor tökéletes választás lehet! A 45 cm-es lapátátmérővel és a négy ventilátorlapáttal rendelkező készülék hatékonyan hűti le a teret, miközben a három sebességfokozatnak köszönhetően minden igényre szabható.
A matt fekete kivitel eleganciát kölcsönöz a ventilátornak, amely tökéletesen illeszkedik modern és klasszikus enteriőrökbe egyaránt. A három famintázatú, becsukható láb stabil alapot biztosít, így a ventilátor könnyen mozgatható és tárolható. A mechanikus vezérlés egyszerű és intuitív használatot tesz lehetővé.
Az állítható magasság (114-134 cm) és dőlésszög lehetővé teszik, hogy pontosan a kívánt irányba irányítsa a légáramot. A ventilátor 220-240V~ 50Hz 60W tápellátású, így gazdaságosan üzemeltethető. Tegyen a hűvös, friss levegőért a Home SF45 álló fém ventilátorral, amely nemcsak praktikus, de stílusos kiegészítője is lehet otthonának!</t>
        </is>
      </c>
    </row>
    <row r="180">
      <c r="A180" s="3" t="inlineStr">
        <is>
          <t>SFP 40</t>
        </is>
      </c>
      <c r="B180" s="2" t="inlineStr">
        <is>
          <t>Home SFP 40 álló ventilátor, távirányító, 40cm lapátátmérő, 45W, 3 fokozat</t>
        </is>
      </c>
      <c r="C180" s="1" t="n">
        <v>18090.0</v>
      </c>
      <c r="D180" s="7" t="n">
        <f>HYPERLINK("https://www.somogyi.hu/product/home-sfp-40-allo-ventilator-taviranyito-40cm-lapatatmero-45w-3-fokozat-sfp-40-9308","https://www.somogyi.hu/product/home-sfp-40-allo-ventilator-taviranyito-40cm-lapatatmero-45w-3-fokozat-sfp-40-9308")</f>
        <v>0.0</v>
      </c>
      <c r="E180" s="7" t="n">
        <f>HYPERLINK("https://www.somogyi.hu/data/img/product_main_images/small/09308.jpg","https://www.somogyi.hu/data/img/product_main_images/small/09308.jpg")</f>
        <v>0.0</v>
      </c>
      <c r="F180" s="2" t="inlineStr">
        <is>
          <t>5998312781210</t>
        </is>
      </c>
      <c r="G180" s="4" t="inlineStr">
        <is>
          <t>Szeretné otthonát hűvösen tartani a forró nyári napokon, mindezt kényelmesen, távirányítóval vezérelve? A Home SFP 40 álló ventilátor tökéletes választás, ha egy hatékony és kényelmes hűtési megoldást keres. 
Ez a ventilátor modern funkciókkal és erős teljesítménnyel rendelkezik, hogy otthonában mindig kellemes legyen a levegő. A ventilátor 40 cm-es lapátátmérője biztosítja a hatékony légáramlást, amely gyorsan és egyenletesen hűti le a helyiséget. Három különböző teljesítményfokozat közül választhat, hogy mindig az Ön igényeinek megfelelő hűtést élvezhesse. A ventilátor rögzített állapotban vagy 90°-os forgó mozgásban is használható, így a levegő eloszlása mindig optimális lesz.
A szél funkció két fokozatban állítható, lehetővé téve a természetes szél érzetének megteremtését. Az időzítő funkció 30 perctől 7,5 óráig állítható, így előre beállíthatja a ventilátor működésének időtartamát. Minden funkció távirányítóval vezérelhető, így a beállításokat kényelmesen, a helyéről elvégezheti. Az állítható magasság (110 - 130 cm) lehetővé teszi, hogy a ventilátort az Ön igényei szerint állítsa be. A ventilátor zajszintje mindössze 60 dB(A), így csendes működést biztosít, ami ideális a nyugodt pihenéshez. A készülék maximális légtömegárama kb. 50 m³ / perc, így hatékonyan hűti le a helyiséget. A távirányító tápellátása 2 x AAA (1,5 V) elemmel történik, amelyek nem tartozékok, így ezeket külön kell beszerezni.
Ne hagyja, hogy a nyári hőség elrontsa a kényelmét – válassza a Home SFP 40 álló ventilátort, és élvezze a hűvös levegőt otthonában, kényelmesen és egyszerűen!</t>
        </is>
      </c>
    </row>
    <row r="181">
      <c r="A181" s="3" t="inlineStr">
        <is>
          <t>SFS 40</t>
        </is>
      </c>
      <c r="B181" s="2" t="inlineStr">
        <is>
          <t>Home SFS 40 álló fém ventilátor, 45 W, 3 fokozat, 40 cm-es lapátátmérő, fém lapátok, 85°-os oszcillálás</t>
        </is>
      </c>
      <c r="C181" s="1" t="n">
        <v>26990.0</v>
      </c>
      <c r="D181" s="7" t="n">
        <f>HYPERLINK("https://www.somogyi.hu/product/home-sfs-40-allo-fem-ventilator-45-w-3-fokozat-40-cm-es-lapatatmero-fem-lapatok-85-os-oszcillalas-sfs-40-15139","https://www.somogyi.hu/product/home-sfs-40-allo-fem-ventilator-45-w-3-fokozat-40-cm-es-lapatatmero-fem-lapatok-85-os-oszcillalas-sfs-40-15139")</f>
        <v>0.0</v>
      </c>
      <c r="E181" s="7" t="n">
        <f>HYPERLINK("https://www.somogyi.hu/data/img/product_main_images/small/15139.jpg","https://www.somogyi.hu/data/img/product_main_images/small/15139.jpg")</f>
        <v>0.0</v>
      </c>
      <c r="F181" s="2" t="inlineStr">
        <is>
          <t>5999084931735</t>
        </is>
      </c>
      <c r="G181" s="4" t="inlineStr">
        <is>
          <t>El tudja képzelni, hogy a nyári hőségben egy gombnyomással hűs szellő járja át a helyiséget? A Home SFS 40 álló fém ventilátor az elegáns megjelenés és a kiváló teljesítmény tökéletes kombinációját kínálja, ami garantáltan felfrissíti otthonát.
Az 40 cm-es névleges lapátátmérő ideális méretet biztosít a hatékony légáramláshoz, míg az állítható magasság (90-120 cm) lehetővé teszi, hogy a ventilátort pontosan a kívánt szintre állítsa be. A teljesítményt három különböző sebességfokozatban szabályozhatja, így minden helyzetben megtalálhatja a megfelelő intenzitást a légáramlat számára.
Az 85°-os kapcsolható oszcillálás széles területen biztosít hűsítést, az állítható fejdőlésszög (+/- 15°) pedig még inkább növeli a használati rugalmasságot, lehetővé téve, hogy pontosan oda irányítsa a levegőt, ahová csak szeretné. 
A fém lapátok nem csak tartósságot garantálnak, hanem a modern otthonok kiegészítő elemeiként is szolgálnak. A ventilátor 230V~/50Hz/50W-os tápellátással rendelkezik. A 40x120cm-es mérete pedig lehetővé teszi, hogy a készüléket kényelmesen mozgathassa és tárolhassa.
Frissítse fel otthonát a Home SFS 40 álló fém ventilátorral, amely stílusos megjelenésével és kivételes hűsítő teljesítményével minden igényt kielégít. Rendelje meg még ma, és élvezze a hűvös, friss levegőt minden nap!</t>
        </is>
      </c>
    </row>
    <row r="182">
      <c r="A182" s="3" t="inlineStr">
        <is>
          <t>SFR 40 3D</t>
        </is>
      </c>
      <c r="B182" s="2" t="inlineStr">
        <is>
          <t>Home SFR 40 3D álló ventilátor, 60 W, 3 fokozat, 40 cm-es lapátátmérő, 3D-s oszcillálás, távirányító, átlátszó lapát, LED kijelző, fehér</t>
        </is>
      </c>
      <c r="C182" s="1" t="n">
        <v>41590.0</v>
      </c>
      <c r="D182" s="7" t="n">
        <f>HYPERLINK("https://www.somogyi.hu/product/home-sfr-40-3d-allo-ventilator-60-w-3-fokozat-40-cm-es-lapatatmero-3d-s-oszcillalas-taviranyito-atlatszo-lapat-led-kijelzo-feher-sfr-40-3d-16745","https://www.somogyi.hu/product/home-sfr-40-3d-allo-ventilator-60-w-3-fokozat-40-cm-es-lapatatmero-3d-s-oszcillalas-taviranyito-atlatszo-lapat-led-kijelzo-feher-sfr-40-3d-16745")</f>
        <v>0.0</v>
      </c>
      <c r="E182" s="7" t="n">
        <f>HYPERLINK("https://www.somogyi.hu/data/img/product_main_images/small/16745.jpg","https://www.somogyi.hu/data/img/product_main_images/small/16745.jpg")</f>
        <v>0.0</v>
      </c>
      <c r="F182" s="2" t="inlineStr">
        <is>
          <t>5999084947774</t>
        </is>
      </c>
      <c r="G182" s="4" t="inlineStr">
        <is>
          <t>Gondolt már arra, milyen lenne egy olyan ventilátor, ami minden igényt kielégít? A Home SFR 40 3D álló ventilátor a kifinomult technológiát és a stílusos dizájnt ötvözi, hogy az otthoni komfort élményét új szintre emelje.
A nagy, 40 cm-es névleges lapátátmérővel rendelkező készülék állítható magasságának (115 - 130 cm) köszönhetően tökéletesen illeszkedik minden térbe, miközben a háromfokozatú teljesítményszabályozásnak hála a kívánt hűsítés mértékét bármikor beállíthatja. A ventilátor egyedülálló szél funkciói – a normál, a természetes és az alvás üzemmód – kellemes és természetes légmozgást biztosítanak, melyeket az Ön preferenciái szerint személyre szabhat.
A dinamikus 3D oszcilláció funkció lehetővé teszi a levegő vízszintes, függőleges vagy teljes térbeli mozgatását, ami garantálja a légáramlat egyenletes eloszlását az egész szobában. Az öt átlátszó lapát elegáns megjelenést nyújt, míg a 12 órás időzítő funkcióval előre programozhatja a ventilátor kikapcsolását, így Ön nyugodtan pihenhet vagy alhat anélkül, hogy a készülék kikapcsolására kellene figyelnie.
A modern LED kijelző minden szükséges információt áttekinthetően jelenít meg, a távirányító pedig további kényelmet biztosít, így akár a kanapéról is irányíthatja a készülék minden funkcióját. Az eszköz 230 V~/50 Hz/60 W-os tápellátással rendelkezik, méretei (∅45x130x44cm) okán a ventilátor pedig elegánsan illeszkedik bármelyik otthonba.
Élje át a frissesség élményét nap mint nap a Home SFR 40 3D álló ventilátorral, amely nem csupán a levegőt, hanem az otthonát is új élettel tölti meg. Ne hagyja ki a lehetőséget, tegye komfortossá otthonát még ma!</t>
        </is>
      </c>
    </row>
    <row r="183">
      <c r="A183" s="3" t="inlineStr">
        <is>
          <t>SF40BK</t>
        </is>
      </c>
      <c r="B183" s="2" t="inlineStr">
        <is>
          <t>Home SF40BK állóventilátor, 45 W, 40cm-es lapátátmérő, 3 sebességfokozat, oszcillálás, állítható fejdőlésszög, fekete színű</t>
        </is>
      </c>
      <c r="C183" s="1" t="n">
        <v>10990.0</v>
      </c>
      <c r="D183" s="7" t="n">
        <f>HYPERLINK("https://www.somogyi.hu/product/home-sf40bk-alloventilator-45-w-40cm-es-lapatatmero-3-sebessegfokozat-oszcillalas-allithato-fejdolesszog-fekete-szinu-sf40bk-18990","https://www.somogyi.hu/product/home-sf40bk-alloventilator-45-w-40cm-es-lapatatmero-3-sebessegfokozat-oszcillalas-allithato-fejdolesszog-fekete-szinu-sf40bk-18990")</f>
        <v>0.0</v>
      </c>
      <c r="E183" s="7" t="n">
        <f>HYPERLINK("https://www.somogyi.hu/data/img/product_main_images/small/18990.jpg","https://www.somogyi.hu/data/img/product_main_images/small/18990.jpg")</f>
        <v>0.0</v>
      </c>
      <c r="F183" s="2" t="inlineStr">
        <is>
          <t>5999084969844</t>
        </is>
      </c>
      <c r="G183" s="4" t="inlineStr">
        <is>
          <t>Hogyan érheti el a tökéletes hűtést egy megbízható és könnyen kezelhető ventilátorral? 
A Home SF40BK fekete színű állóventilátor kiváló választás a forró nyári napokra, amikor frissítő levegőáramlásra van szüksége otthonában vagy irodájában. Az elegáns kialakítás és a 40 cm-es lapátátmérő hatékony légáramlást biztosít, miközben a három sebességfokozat és a kapcsolható oszcillálás révén teljesen az igényeihez szabhatja a működést.
Erőteljes légáramlás és sokoldalú beállítások 
A ventilátor 40 cm-es lapátátmérője erőteljes légáramlást biztosít, amely gyorsan hűti le a helyiséget. A három sebességfokozat lehetővé teszi, hogy az adott helyzethez és hőmérséklethez igazítsa a légáramlás intenzitását. A kapcsolható oszcilláló funkció biztosítja, hogy a levegő egyenletesen oszoljon el a szobában, míg az állítható fejdőlésszög lehetővé teszi, hogy a levegőt pontosan a kívánt irányba irányítsa.
Kényelmes kezelés és állítható magasság 
A ventilátor mechanikus nyomógombos vezérlése egyszerű és intuitív használatot biztosít, így minden korosztály számára könnyen kezelhető. Az állítható magasság (103–125 cm között) garantálja, hogy a ventilátor mindig az optimális magasságban működjön, függetlenül attól, hogy ülő vagy álló helyzetben használja.
Helytakarékos és könnyű kialakítás 
A ventilátor kompakt mérete (62 x 62 x 125 cm) és könnyű súlya (2,5 kg) lehetővé teszi, hogy könnyedén áthelyezze a lakás bármely pontjára. Az eszköz stabil talppal rendelkezik, amely biztosítja a biztonságos és megbízható működést, még maximális sebesség mellett is.
Miért válassza a Home SF40BK állóventilátort? 
– Erőteljes légáramlás 40 cm-es lapátátmérővel. 
– Három sebességfokozat és állítható fejdőlésszög a személyre szabott használathoz. 
– Egyszerű, nyomógombos vezérlés minden korosztály számára. 
– Kompakt és könnyű kialakítás, amely könnyen áthelyezhető. 
– Kapcsolható oszcilláció a hatékonyabb légelosztásért.
Tegye kényelmesebbé és hűvösebbé otthonát vagy irodáját a Home SF40BK állóventilátorral! Rendelje meg most, és élvezze a friss levegőt a legnagyobb forróságban is!</t>
        </is>
      </c>
    </row>
    <row r="184">
      <c r="A184" s="3" t="inlineStr">
        <is>
          <t>SF40WH</t>
        </is>
      </c>
      <c r="B184" s="2" t="inlineStr">
        <is>
          <t>Home SF40WH állóventilátor, 45 W, 40cm-es lapátátmérő, 3 sebességfokozat, oszcillálás, állítható fejdőlésszög, fehér színű</t>
        </is>
      </c>
      <c r="C184" s="1" t="n">
        <v>10990.0</v>
      </c>
      <c r="D184" s="7" t="n">
        <f>HYPERLINK("https://www.somogyi.hu/product/home-sf40wh-alloventilator-45-w-40cm-es-lapatatmero-3-sebessegfokozat-oszcillalas-allithato-fejdolesszog-feher-szinu-sf40wh-18991","https://www.somogyi.hu/product/home-sf40wh-alloventilator-45-w-40cm-es-lapatatmero-3-sebessegfokozat-oszcillalas-allithato-fejdolesszog-feher-szinu-sf40wh-18991")</f>
        <v>0.0</v>
      </c>
      <c r="E184" s="7" t="n">
        <f>HYPERLINK("https://www.somogyi.hu/data/img/product_main_images/small/18991.jpg","https://www.somogyi.hu/data/img/product_main_images/small/18991.jpg")</f>
        <v>0.0</v>
      </c>
      <c r="F184" s="2" t="inlineStr">
        <is>
          <t>5999084969851</t>
        </is>
      </c>
      <c r="G184" s="4" t="inlineStr">
        <is>
          <t>Hogyan érheti el a tökéletes hűtést egy megbízható és könnyen kezelhető ventilátorral? 
A Home SF40WH fehér színű állóventilátor kiváló választás a forró nyári napokra, amikor frissítő levegőáramlásra van szüksége otthonában vagy irodájában. Az elegáns kialakítás és a 40 cm-es lapátátmérő hatékony légáramlást biztosít, miközben a három sebességfokozat és a kapcsolható oszcillálás révén teljesen az igényeihez szabhatja a működést.
Erőteljes légáramlás és sokoldalú beállítások 
A ventilátor 40 cm-es lapátátmérője erőteljes légáramlást biztosít, amely gyorsan hűti le a helyiséget. A három sebességfokozat lehetővé teszi, hogy az adott helyzethez és hőmérséklethez igazítsa a légáramlás intenzitását. A kapcsolható oszcilláló funkció biztosítja, hogy a levegő egyenletesen oszoljon el a szobában, míg az állítható fejdőlésszög lehetővé teszi, hogy a levegőt pontosan a kívánt irányba irányítsa.
Kényelmes kezelés és állítható magasság 
A ventilátor mechanikus nyomógombos vezérlése egyszerű és intuitív használatot biztosít, így minden korosztály számára könnyen kezelhető. Az állítható magasság (103–125 cm között) garantálja, hogy a ventilátor mindig az optimális magasságban működjön, függetlenül attól, hogy ülő vagy álló helyzetben használja.
Helytakarékos és könnyű kialakítás 
A ventilátor kompakt mérete (62 x 62 x 125 cm) és könnyű súlya (2,5 kg) lehetővé teszi, hogy könnyedén áthelyezze a lakás bármely pontjára. Az eszköz stabil talppal rendelkezik, amely biztosítja a biztonságos és megbízható működést, még maximális sebesség mellett is.
Miért válassza a Home SF40WH állóventilátort? 
– Erőteljes légáramlás 40 cm-es lapátátmérővel. 
– Három sebességfokozat és állítható fejdőlésszög a személyre szabott használathoz. 
– Egyszerű, nyomógombos vezérlés minden korosztály számára. 
– Kompakt és könnyű kialakítás, amely könnyen áthelyezhető. 
– Kapcsolható oszcilláció a hatékonyabb légelosztásért.
Tegye kényelmesebbé és hűvösebbé otthonát vagy irodáját a Home SF40WH állóventilátorral! Rendelje meg most, és élvezze a friss levegőt a legnagyobb forróságban is!</t>
        </is>
      </c>
    </row>
    <row r="185">
      <c r="A185" s="3" t="inlineStr">
        <is>
          <t>SFI 45</t>
        </is>
      </c>
      <c r="B185" s="2" t="inlineStr">
        <is>
          <t>Home SFI 45 álló fém ventilátor, 100 W, 3 fokozat, 45 cm-es lapátátmérő, állítható fejdőlésszög, fém lapát</t>
        </is>
      </c>
      <c r="C185" s="1" t="n">
        <v>27790.0</v>
      </c>
      <c r="D185" s="7" t="n">
        <f>HYPERLINK("https://www.somogyi.hu/product/home-sfi-45-allo-fem-ventilator-100-w-3-fokozat-45-cm-es-lapatatmero-allithato-fejdolesszog-fem-lapat-sfi-45-13339","https://www.somogyi.hu/product/home-sfi-45-allo-fem-ventilator-100-w-3-fokozat-45-cm-es-lapatatmero-allithato-fejdolesszog-fem-lapat-sfi-45-13339")</f>
        <v>0.0</v>
      </c>
      <c r="E185" s="7" t="n">
        <f>HYPERLINK("https://www.somogyi.hu/data/img/product_main_images/small/13339.jpg","https://www.somogyi.hu/data/img/product_main_images/small/13339.jpg")</f>
        <v>0.0</v>
      </c>
      <c r="F185" s="2" t="inlineStr">
        <is>
          <t>5999084914257</t>
        </is>
      </c>
      <c r="G185" s="4" t="inlineStr">
        <is>
          <t>Egy hatékony, stílusos és erős ventilátort keres a nyári hőség enyhítésére? A Home SFI 45 álló fém ventilátor minden igényét kielégíti!
A 45 cm lapátátmérővel és fém lapátokkal ellátott ventilátor kiváló teljesítményt nyújt. A három fokozatban szabályozható teljesítmény és az állítható fejdőlésszög (90°) lehetővé teszi a légáramlás testreszabását, így mindig a kívánt hűsítő hatást érheti el. A ventilátor hangteljesítményszintje 63 dB(A), így meglehetősen csendes működést biztosít, miközben maximális légtömegárama kb. 89 m³/perc, ami garantálja a gyors és hatékony légmozgatást.
A készülék 230 V~/50 Hz/100 W tápellátással működik, és 9,6 kg tömegű, így stabilan áll és könnyen mozgatható. A masszív kialakítás és a minőségi anyagok hosszú élettartamot biztosítanak.
Vásárolja meg a Home SFI 45 álló fém ventilátort, és élvezze a friss, mozgó levegőt otthonában vagy irodájában!</t>
        </is>
      </c>
    </row>
    <row r="186">
      <c r="A186" s="3" t="inlineStr">
        <is>
          <t>SFT40R</t>
        </is>
      </c>
      <c r="B186" s="2" t="inlineStr">
        <is>
          <t>Home SFT40R állóventilátor 3in1, 60 W, 40 cm névleges lapátátmérő, 5 lapát, 4 fokozat, érintőgomb, távirányító, állítható magasság és dőlésszög, LED kijelző</t>
        </is>
      </c>
      <c r="C186" s="1" t="n">
        <v>24590.0</v>
      </c>
      <c r="D186" s="7" t="n">
        <f>HYPERLINK("https://www.somogyi.hu/product/home-sft40r-alloventilator-3in1-60-w-40-cm-nevleges-lapatatmero-5-lapat-4-fokozat-erintogomb-taviranyito-allithato-magassag-es-dolesszog-led-kijelzo-sft40r-18403","https://www.somogyi.hu/product/home-sft40r-alloventilator-3in1-60-w-40-cm-nevleges-lapatatmero-5-lapat-4-fokozat-erintogomb-taviranyito-allithato-magassag-es-dolesszog-led-kijelzo-sft40r-18403")</f>
        <v>0.0</v>
      </c>
      <c r="E186" s="7" t="n">
        <f>HYPERLINK("https://www.somogyi.hu/data/img/product_main_images/small/18403.jpg","https://www.somogyi.hu/data/img/product_main_images/small/18403.jpg")</f>
        <v>0.0</v>
      </c>
      <c r="F186" s="2" t="inlineStr">
        <is>
          <t>5999084964214</t>
        </is>
      </c>
      <c r="G186" s="4" t="inlineStr">
        <is>
          <t>Fedezze fel a nyári hőség leküzdésének modern módját a Home SFT40R állóventilátorral! 
Ez a kifinomult készülék 40 cm-es lapátátmérővel és öt átlátszó ventilátorlapáttal rendelkezik, amelyek hatékonyan mozgatják a levegőt.
Az intuitív érintőgombok és a mellékelt távirányító révén könnyedén irányíthatja a ventilátort kényelmesen, akár a kanapéjáról is. A ventilátor magassága háromféleképpen állítható be (78, 105, 132 cm), így minden helyzetben megfelelő légáramlást biztosít. Az állítható fejdőlésszög további rugalmasságot nyújt.
A modern fehér LED kijelző kikapcsolható, így a sötétben sem zavarja a fénye. A négy sebességfokozat mellett az éjszakai funkció is rendelkezésre áll, amely alacsony zajszintű légáramlást biztosít. A kapcsolható oszcillálás széles területre biztosít friss levegőt, míg a kikapcsolásidőzítővel 1-9 óra közötti időtartamra programozható.
A távirányító CR2025 gombelemmel működik, amely a csomag része. A 220-240V~ 50-60Hz 60W tápellátással rendelkező ventilátor méretei: 46x(78/105/132)x40 cm. Hűsítse otthonát stílusosan a Home SFT40R állóventilátorral!</t>
        </is>
      </c>
    </row>
    <row r="187">
      <c r="A187" s="3" t="inlineStr">
        <is>
          <t>SFR88DC</t>
        </is>
      </c>
      <c r="B187" s="2" t="inlineStr">
        <is>
          <t>Home SFR88DC állványos ventilátor, 50 W, 18 cm névleges lapátátmérő, DC motor, 12 fokozat, 3 üzemmód, 3 dőlésszög, kapcsolható oszcillálás, időzítő</t>
        </is>
      </c>
      <c r="C187" s="1" t="n">
        <v>29390.0</v>
      </c>
      <c r="D187" s="7" t="n">
        <f>HYPERLINK("https://www.somogyi.hu/product/home-sfr88dc-allvanyos-ventilator-50-w-18-cm-nevleges-lapatatmero-dc-motor-12-fokozat-3-uzemmod-3-dolesszog-kapcsolhato-oszcillalas-idozito-sfr88dc-18378","https://www.somogyi.hu/product/home-sfr88dc-allvanyos-ventilator-50-w-18-cm-nevleges-lapatatmero-dc-motor-12-fokozat-3-uzemmod-3-dolesszog-kapcsolhato-oszcillalas-idozito-sfr88dc-18378")</f>
        <v>0.0</v>
      </c>
      <c r="E187" s="7" t="n">
        <f>HYPERLINK("https://www.somogyi.hu/data/img/product_main_images/small/18378.jpg","https://www.somogyi.hu/data/img/product_main_images/small/18378.jpg")</f>
        <v>0.0</v>
      </c>
      <c r="F187" s="2" t="inlineStr">
        <is>
          <t>5999084963965</t>
        </is>
      </c>
      <c r="G187" s="4" t="inlineStr">
        <is>
          <t>Kíváncsi arra, hogyan hűtheti le otthonát stílusosan és hatékonyan? 
A Home SFR88DC állványos ventilátor tökéletes választás lehet. Ez a készülék 18 cm-es lapátátmérővel és egy rendkívül hatékony DC motorral rendelkezik, amely 12 különböző sebességfokozatot kínál. Az állványos ventilátor két magasságban használható (970 mm és 695 mm), így tökéletesen alkalmazkodik különböző helyiségekhez és szükségletekhez.
A ventilátor többféle üzemmóddal is rendelkezik: normál, természetes szél és alvás üzemmódok, amelyek különböző egyéni szükségletekre lettek tervezve. A fejdőlésszög 30°, 60°, és 90° között állítható be, így pontosan irányíthatja a légáramlást. A ventilátor rendelkezik kapcsolható vízszintes és / vagy függőleges oszcillálási funkcióval is, ami még nagyobb kényelmet biztosít. Az időzítő funkció lehetővé teszi a be- vagy kikapcsolás beállítását 1-15 órás intervallumban, így éjszakára is tökéletes választás.
A ventilátor távirányítóval is vezérelhető, amelynek tápellátása 2 db 1,5V-os (AAA) elemmel működik, amit a csomag nem tartalmaz. A készülék tápellátása 220-240V~ 50-60Hz 50W. Méretei révén ideális választás otthoni vagy irodai használatra. Hűtse le otthonát a Home SFR88DC állványos ventilátorral és élvezze a friss levegőt!</t>
        </is>
      </c>
    </row>
    <row r="188">
      <c r="A188" s="3" t="inlineStr">
        <is>
          <t>FS40-21M</t>
        </is>
      </c>
      <c r="B188" s="2" t="inlineStr">
        <is>
          <t>MIDEA FS40-21M álló ventilátor, 40 cm-es lapátátmérő, állítható magasság, 3 fokozat, 40W, fehér</t>
        </is>
      </c>
      <c r="C188" s="1" t="n">
        <v>11890.0</v>
      </c>
      <c r="D188" s="7" t="n">
        <f>HYPERLINK("https://www.somogyi.hu/product/midea-fs40-21m-allo-ventilator-40-cm-es-lapatatmero-allithato-magassag-3-fokozat-40w-feher-fs40-21m-19132","https://www.somogyi.hu/product/midea-fs40-21m-allo-ventilator-40-cm-es-lapatatmero-allithato-magassag-3-fokozat-40w-feher-fs40-21m-19132")</f>
        <v>0.0</v>
      </c>
      <c r="E188" s="7" t="n">
        <f>HYPERLINK("https://www.somogyi.hu/data/img/product_main_images/small/19132.jpg","https://www.somogyi.hu/data/img/product_main_images/small/19132.jpg")</f>
        <v>0.0</v>
      </c>
      <c r="F188" s="2" t="inlineStr">
        <is>
          <t>6939924852607</t>
        </is>
      </c>
      <c r="G188" s="4" t="inlineStr">
        <is>
          <t>Hogyan biztosíthatja otthonában a kellemes légmozgást a legmelegebb nyári napokon is zaj és zavaró huzat nélkül? 
A MIDEA FS40-21M álló ventilátor a megbízhatóság, a csendes működés és az egyszerű kezelhetőség tökéletes egyensúlyát kínálja, így ideális választás nappalikba, hálószobákba vagy akár irodai környezetbe. A készülék kialakítása és funkciói minden igényt kielégítenek, miközben energiatakarékosan működik.
Kellemes légáramlás, hatékony működés
A ventilátor 40 cm-es lapátátmérője optimális légáramlást biztosít, amely gyorsan és hatékonyan frissíti fel a levegőt kisebb és nagyobb helyiségekben egyaránt. A 40 wattos teljesítmény energiatakarékos működést tesz lehetővé, miközben biztosítja a megfelelő szellőzést a forró napokon is.
Állítható magasság és fejpozíció – személyre szabható kényelem
A 94–124 cm között állítható magasság révén a ventilátor könnyedén igazítható a helyiség és az elhelyezés adottságaihoz. Az állítható fejdőlésszög (+15°) lehetővé teszi a légáram irányának pontos beállítását, így mindenki számára biztosított a kellemes levegőkeringetés.
Egyszerű kezelés és praktikus funkciók
A MIDEA FS40-21M három sebességfokozattal rendelkezik, amelyek a motoron elhelyezett forgókapcsolóval kényelmesen válthatók. A kapcsolható oszcilláló funkció (80°) automatikusan eloszlatja a levegőt a szoba teljes szélességében, így egyenletes hűtést biztosít a tér minden pontján. A stabil talpkialakítás és a kompakt méret (70 × 70 × 124 cm) garantálják a biztonságos használatot és az egyszerű mozgatást.
Miért válassza a MIDEA FS40-21M álló ventilátort?
- 40 cm átmérőjű lapát – erőteljes és hatékony légmozgás
- Állítható magasság (94–124 cm) – a helyiség adottságaihoz igazítható
- 3 fokozatú szabályozás – csendes, közepes vagy intenzív fújás
- Kapcsolható 80°-os oszcillálás – egyenletes légelosztás
- Állítható fejdőlésszög – célzott légáramlás a maximális kényelemért
- Energiatakarékos működés 40 W teljesítménnyel
- Egyszerű kezelés a motoron elhelyezett forgókapcsolóval
Tegye komfortosabbá otthonát vagy munkahelyét a MIDEA FS40-21M ventilátorral – kiváló választás, ha erős, csendes és könnyen kezelhető megoldást keres a nyári forróság ellen. Élvezze a frissítő levegőt és a megbízható működést egy megbecsült márkától!</t>
        </is>
      </c>
    </row>
    <row r="189">
      <c r="A189" s="6" t="inlineStr">
        <is>
          <t xml:space="preserve">   Hűtés / Asztali ventilátor</t>
        </is>
      </c>
      <c r="B189" s="6" t="inlineStr">
        <is>
          <t/>
        </is>
      </c>
      <c r="C189" s="6" t="inlineStr">
        <is>
          <t/>
        </is>
      </c>
      <c r="D189" s="6" t="inlineStr">
        <is>
          <t/>
        </is>
      </c>
      <c r="E189" s="6" t="inlineStr">
        <is>
          <t/>
        </is>
      </c>
      <c r="F189" s="6" t="inlineStr">
        <is>
          <t/>
        </is>
      </c>
      <c r="G189" s="6" t="inlineStr">
        <is>
          <t/>
        </is>
      </c>
    </row>
    <row r="190">
      <c r="A190" s="3" t="inlineStr">
        <is>
          <t>TF30WH</t>
        </is>
      </c>
      <c r="B190" s="2" t="inlineStr">
        <is>
          <t>Home TF30WH asztali ventilátor, 40 W, 3 fokozat, 30 cm-es lapátátmérő, oszcillálás, fehér</t>
        </is>
      </c>
      <c r="C190" s="1" t="n">
        <v>9890.0</v>
      </c>
      <c r="D190" s="7" t="n">
        <f>HYPERLINK("https://www.somogyi.hu/product/home-tf30wh-asztali-ventilator-40-w-3-fokozat-30-cm-es-lapatatmero-oszcillalas-feher-tf30wh-18989","https://www.somogyi.hu/product/home-tf30wh-asztali-ventilator-40-w-3-fokozat-30-cm-es-lapatatmero-oszcillalas-feher-tf30wh-18989")</f>
        <v>0.0</v>
      </c>
      <c r="E190" s="7" t="n">
        <f>HYPERLINK("https://www.somogyi.hu/data/img/product_main_images/small/18989.jpg","https://www.somogyi.hu/data/img/product_main_images/small/18989.jpg")</f>
        <v>0.0</v>
      </c>
      <c r="F190" s="2" t="inlineStr">
        <is>
          <t>5999084969837</t>
        </is>
      </c>
      <c r="G190" s="4" t="inlineStr">
        <is>
          <t>Felfrissülésre vágyik a nyári hőségben? A Home TF30WH asztali ventilátor tökéletes választás azok számára, akik gyors és hatékony megoldást keresnek otthonuk vagy irodájuk hűtésére a forró napokon. 
A 40 W teljesítményű ventilátor nemcsak erős légáramlást biztosít, hanem három különböző sebességfokozat közül is választhat, így mindig az igényeinek megfelelő intenzitású hűtést élvezhet.
A ventilátor egyik kiemelkedő tulajdonsága az oszcilláló mozgás, amely lehetővé teszi, hogy a levegő szélesebb területen mozogjon, így minden szoba sarkába eljuttatva a kellemes hűsítő levegőt. Ha szükséges, az oszcillálás funkció egyetlen gombnyomással kikapcsolható, így a ventilátor fix irányban is használható. Az állítható fejdőlésszög további rugalmasságot kínál, hogy a légáramlást a kívánt irányba terelje, legyen szó közvetlen hűtésről vagy a levegő keringetéséről.
A Home TF30WH ventilátor esztétikus fehér színben kapható, műanyag lapátokkal és tartós fém ráccsal, amely nemcsak védelmet nyújt, de modern megjelenést is biztosít. A gumilábak garantálják a stabilitást, így a ventilátor nem csúszkál a felületen, még nagyobb sebességnél sem. Emellett a 51,08 dB(A) zajszint alacsony, így csendes működése nem zavarja a mindennapi tevékenységeket, legyen szó munkáról vagy pihenésről.
A készülék 220-240 V-os tápellátással működik, 50-60 Hz frekvencián, így megbízhatóan működik az otthonok vagy irodák áramellátási rendszerében. Kompakt kialakítása miatt bármilyen asztalon, polcon vagy szűkebb helyen is könnyedén elhelyezhető, miközben hatékonyan biztosítja a kívánt hűtést.
Frissítse fel lakását vagy munkahelyét a Home TF30WH asztali ventilátorral! Élvezze a könnyen állítható sebességeket, a csendes működést és az elegáns megjelenést – rendelje meg most, hogy a nyári hőség többé ne jelentsen problémát!</t>
        </is>
      </c>
    </row>
    <row r="191">
      <c r="A191" s="3" t="inlineStr">
        <is>
          <t>CLF 10/BK</t>
        </is>
      </c>
      <c r="B191" s="2" t="inlineStr">
        <is>
          <t>Home CLF 10/BK csíptetős, akkumulátoros ventilátor, 3 fokozat, 10 cm-es lapátátmérő, állítható fejrész, 1800 mAh Li-ion akkumulátor, fekete</t>
        </is>
      </c>
      <c r="C191" s="1" t="n">
        <v>3690.0</v>
      </c>
      <c r="D191" s="7" t="n">
        <f>HYPERLINK("https://www.somogyi.hu/product/home-clf-10-bk-csiptetos-akkumulatoros-ventilator-3-fokozat-10-cm-es-lapatatmero-allithato-fejresz-1800-mah-li-ion-akkumulator-fekete-clf-10-bk-17613","https://www.somogyi.hu/product/home-clf-10-bk-csiptetos-akkumulatoros-ventilator-3-fokozat-10-cm-es-lapatatmero-allithato-fejresz-1800-mah-li-ion-akkumulator-fekete-clf-10-bk-17613")</f>
        <v>0.0</v>
      </c>
      <c r="E191" s="7" t="n">
        <f>HYPERLINK("https://www.somogyi.hu/data/img/product_main_images/small/17613.jpg","https://www.somogyi.hu/data/img/product_main_images/small/17613.jpg")</f>
        <v>0.0</v>
      </c>
      <c r="F191" s="2" t="inlineStr">
        <is>
          <t>5999084956356</t>
        </is>
      </c>
      <c r="G191" s="4" t="inlineStr">
        <is>
          <t>Mire jó egy hordozható ventilátor, ha nem ott hűsíti, ahol Önnek szüksége van rá? A Home CLF 10/BK csíptetős, akkumulátoros ventilátor a rugalmasság és a hűvös kényelem zsebben hordozható megtestesítője.
A kompakt, 10 cm névleges átmérőjű lapátokat hatékony hűtésre tervezték, így a Home CLF 10/BK tökéletes választás az asztali ventilátorok között. A polcokhoz vagy akár 25 mm vastagságú asztallapokhoz könnyedén rögzíthető csíptető megoldása révén a készülék stabilan pozícionálható a legmegfelelőbb helyen. Hasonló felület hiányában 4 habgumi lábának köszönhetően szimplán asztalra is könnyedén elhelyezhető. A ventilátor három különböző sebességfokozattal rendelkezik, melyeket elektronikus nyomógombbal állíthat be, miközben a visszajelző LED tájékoztatást nyújt az aktuális üzemmódról.
A fejrész minden irányban beállítható, lehetővé téve, hogy pontosan oda irányítsa a levegő áramlását, ahol arra a legnagyobb szükség van. A beépített 18650-es típusú Li-ion akkumulátor 1800 mAh kapacitásának köszönhetően a ventilátor akár 3-6 órát képes üzemelni a sebesség függvényében, és mindössze körülbelül 3 óra alatt töltődik fel. A praktikusságot tovább növeli, hogy a ventilátor a töltés alatt is használható.
Méretei – 15 x 19 x 13 cm – mellett a Home CLF 10/BK ventilátor könnyen tárolható és szállítható. A csomag tartalmaz egy USB vezetéket is, ami még egyszerűbbé teszi az eszköz töltését számítógépről vagy bármely USB porttal rendelkező töltőről.
Bárhol is van szüksége egy kis frissességre, a Home CLF 10/BK ventilátor ott lesz Önnel. Ne várjon tovább, rendelje meg most, és élvezze a mobil hűsölés minden előnyét!</t>
        </is>
      </c>
    </row>
    <row r="192">
      <c r="A192" s="3" t="inlineStr">
        <is>
          <t>TF 23 TURBO</t>
        </is>
      </c>
      <c r="B192" s="2" t="inlineStr">
        <is>
          <t>Home TF 23 TURBO asztali/fali ventilátor, 50 W, 3 fokozat, 23 cm-es lapátátmérő, 90°-ban dönthető fej, fehér</t>
        </is>
      </c>
      <c r="C192" s="1" t="n">
        <v>12290.0</v>
      </c>
      <c r="D192" s="7" t="n">
        <f>HYPERLINK("https://www.somogyi.hu/product/home-tf-23-turbo-asztali-fali-ventilator-50-w-3-fokozat-23-cm-es-lapatatmero-90-ban-dontheto-fej-feher-tf-23-turbo-15831","https://www.somogyi.hu/product/home-tf-23-turbo-asztali-fali-ventilator-50-w-3-fokozat-23-cm-es-lapatatmero-90-ban-dontheto-fej-feher-tf-23-turbo-15831")</f>
        <v>0.0</v>
      </c>
      <c r="E192" s="7" t="n">
        <f>HYPERLINK("https://www.somogyi.hu/data/img/product_main_images/small/15831.jpg","https://www.somogyi.hu/data/img/product_main_images/small/15831.jpg")</f>
        <v>0.0</v>
      </c>
      <c r="F192" s="2" t="inlineStr">
        <is>
          <t>5999084938659</t>
        </is>
      </c>
      <c r="G192" s="4" t="inlineStr">
        <is>
          <t>Szeretné otthonát vagy irodáját gyorsan és hatékonyan lehűteni egy megbízható ventilátorral? A Home TF 23 TURBO asztali/fali ventilátor tökéletes választás, ha erőteljes és sokoldalú hűtésre van szüksége.
Ez a 23 cm-es névleges lapátátmérőjű ventilátor három sebességfokozattal rendelkezik, melyeket egy forgókapcsolóval könnyedén állíthat, így maximális kontroll alatt tarthatja a hűsítő légáramlatot. A 90°-ban dönthető fejnek köszönhetően a ventilátor könnyen beállítható, hogy pontosan oda fújja a levegőt, ahová Ön szeretné. Az asztali használat mellett a csomag tartalmazza a tipliket és csavarokat is, amelyekkel a ventilátort stabilan rögzítheti a falra, így még több helyet spórolhat meg.
A Home TF 23 TURBO ventilátor 230V~/50Hz/50W tápellátással üzemel, de mégis kétszer akkora légsebességet kínál, mint a Somogyi Elektronic Kft. által forgalmazott azonos lapátátmérőjű TF 23 típusú ventilátorok. Kompakt méretei (26x28x17 cm) révén a ventilátor nem foglal sok helyet, így tökéletes választás lehet bármilyen kis helyiségbe.
Válassza a Home TF 23 TURBO ventilátort, ha egy hatékony, mégis gazdaságos megoldást keres a nyári hőség ellen. Engedje, hogy ez a kis erőmű gondoskodjon otthonának vagy munkahelyének friss és hűvös légköréről. Rendelje meg most, és élvezze a hűs komfortot minden nap!</t>
        </is>
      </c>
    </row>
    <row r="193">
      <c r="A193" s="3" t="inlineStr">
        <is>
          <t>TF 10 USB</t>
        </is>
      </c>
      <c r="B193" s="2" t="inlineStr">
        <is>
          <t>Home TF 10 USB asztali ventilátor, 2,5 W, 10 cm-es lapátátmérő, 1 fokozat, 1,4 m USB vezeték, fekete</t>
        </is>
      </c>
      <c r="C193" s="1" t="n">
        <v>2390.0</v>
      </c>
      <c r="D193" s="7" t="n">
        <f>HYPERLINK("https://www.somogyi.hu/product/home-tf-10-usb-asztali-ventilator-2-5-w-10-cm-es-lapatatmero-1-fokozat-1-4-m-usb-vezetek-fekete-tf-10-usb-15832","https://www.somogyi.hu/product/home-tf-10-usb-asztali-ventilator-2-5-w-10-cm-es-lapatatmero-1-fokozat-1-4-m-usb-vezetek-fekete-tf-10-usb-15832")</f>
        <v>0.0</v>
      </c>
      <c r="E193" s="7" t="n">
        <f>HYPERLINK("https://www.somogyi.hu/data/img/product_main_images/small/15832.jpg","https://www.somogyi.hu/data/img/product_main_images/small/15832.jpg")</f>
        <v>0.0</v>
      </c>
      <c r="F193" s="2" t="inlineStr">
        <is>
          <t>5999084938666</t>
        </is>
      </c>
      <c r="G193" s="4" t="inlineStr">
        <is>
          <t>Milyen lenne, ha az asztalánál ülve is élvezhetné a hűsítő szellőt, anélkül, hogy nagy helyet foglalna a ventilátor? A Home TF 10 USB asztali ventilátor kompakt méreteivel és egyszerű használatával kiváló választás az irodába és otthonra egyaránt.
A 10 cm-es névleges lapátátmérő mellett az egyetlen sebességfokozat elegendő légmozgást biztosít a személyes komfort érdekében. A négy darab áttetsző műanyag lapát nemcsak funkcionális, de a design tekintetében is hozzáad az esztétikumhoz. Könnyedén csatlakoztatható bármely USB aljzatra, legyen szó laptopról vagy power bankról, így a 5V / 500mA / 2.5W-os energiaszükséglettel rendelkező készülék nem csak hatékony, de rendkívül energiatakarékos is.
A ventilátorhoz ajánlott adapterek – Home SA 24USB, Home NV 2100 USB, Home SA 20QCPD – bár nem tartozékok, széles körben kaphatóak, biztosítva ezzel a felhasználóknak a kényelmes és rugalmas használatot. A 1,4 méter hosszú USB vezeték megkönnyíti az elhelyezést és a mozgathatóságot az asztalon.
Mérete, 14,5x15x9,5cm, ideális a korlátozott helyekre, és a letisztult fekete szín minden környezetbe illeszkedik. 
A Home TF 10 USB asztali ventilátor tökéletes választás azok számára, akik szeretnének egy kis hűs levegőhöz jutni a mindennapi teendőik közben. Ne várjon tovább, tegye kényelmesebbé napjait a Home TF 10 USB asztali ventilátorral, mely kis helyen nagy segítség!</t>
        </is>
      </c>
    </row>
    <row r="194">
      <c r="A194" s="3" t="inlineStr">
        <is>
          <t>TF 10 USB/WH</t>
        </is>
      </c>
      <c r="B194" s="2" t="inlineStr">
        <is>
          <t>Home TF 10 USB/WH asztali ventilátor, 2,5 W, 10 cm-es lapátátmérő, 1 fokozat, 1,4 m USB vezeték, fehér</t>
        </is>
      </c>
      <c r="C194" s="1" t="n">
        <v>2390.0</v>
      </c>
      <c r="D194" s="7" t="n">
        <f>HYPERLINK("https://www.somogyi.hu/product/home-tf-10-usb-wh-asztali-ventilator-2-5-w-10-cm-es-lapatatmero-1-fokozat-1-4-m-usb-vezetek-feher-tf-10-usb-wh-16304","https://www.somogyi.hu/product/home-tf-10-usb-wh-asztali-ventilator-2-5-w-10-cm-es-lapatatmero-1-fokozat-1-4-m-usb-vezetek-feher-tf-10-usb-wh-16304")</f>
        <v>0.0</v>
      </c>
      <c r="E194" s="7" t="n">
        <f>HYPERLINK("https://www.somogyi.hu/data/img/product_main_images/small/16304.jpg","https://www.somogyi.hu/data/img/product_main_images/small/16304.jpg")</f>
        <v>0.0</v>
      </c>
      <c r="F194" s="2" t="inlineStr">
        <is>
          <t>5999084943363</t>
        </is>
      </c>
      <c r="G194" s="4" t="inlineStr">
        <is>
          <t>Milyen lenne, ha az asztalánál ülve is élvezhetné a hűsítő szellőt, anélkül, hogy nagy helyet foglalna a ventilátor? A Home TF 10 USB/WH asztali ventilátor kompakt méreteivel és egyszerű használatával kiváló választás az irodába és otthonra egyaránt.
A 10 cm-es névleges lapátátmérő mellett az egyetlen sebességfokozat elegendő légmozgást biztosít a személyes komfort érdekében. A négy darab áttetsző műanyag lapát nemcsak funkcionális, de a design tekintetében is hozzáad az esztétikumhoz. Könnyedén csatlakoztatható bármely USB aljzatra, legyen szó laptopról vagy power bankról, így a 5V / 500mA / 2.5W-os energiaszükséglettel rendelkező készülék nem csak hatékony, de rendkívül energiatakarékos is.
A ventilátorhoz ajánlott adapterek – Home SA 24USB, Home NV 2100 USB, Home SA 20QCPD – bár nem tartozékok, széles körben kaphatóak, biztosítva ezzel a felhasználóknak a kényelmes és rugalmas használatot. A 1,4 méter hosszú USB vezeték megkönnyíti az elhelyezést és a mozgathatóságot az asztalon.
Mérete, 14,5x15x9,5cm, ideális a korlátozott helyekre, és a letisztult fekete szín minden környezetbe illeszkedik. 
A Home TF 10 USB/WH asztali ventilátor tökéletes választás azok számára, akik szeretnének egy kis hűs levegőhöz jutni a mindennapi teendőik közben. Ne várjon tovább, tegye kényelmesebbé napjait a Home TF 10 USB/WH asztali ventilátorral, mely kis helyen nagy segítség!</t>
        </is>
      </c>
    </row>
    <row r="195">
      <c r="A195" s="6" t="inlineStr">
        <is>
          <t xml:space="preserve">   Hűtés / Padlóventilátor</t>
        </is>
      </c>
      <c r="B195" s="6" t="inlineStr">
        <is>
          <t/>
        </is>
      </c>
      <c r="C195" s="6" t="inlineStr">
        <is>
          <t/>
        </is>
      </c>
      <c r="D195" s="6" t="inlineStr">
        <is>
          <t/>
        </is>
      </c>
      <c r="E195" s="6" t="inlineStr">
        <is>
          <t/>
        </is>
      </c>
      <c r="F195" s="6" t="inlineStr">
        <is>
          <t/>
        </is>
      </c>
      <c r="G195" s="6" t="inlineStr">
        <is>
          <t/>
        </is>
      </c>
    </row>
    <row r="196">
      <c r="A196" s="3" t="inlineStr">
        <is>
          <t>PVR 50</t>
        </is>
      </c>
      <c r="B196" s="2" t="inlineStr">
        <is>
          <t>Home PVR 50 padlóventilátor, 120 W, 3 fokozat, 50 cm-es lapátátmérő, állítható fejdőlésszög, fém lapátok, fém rács</t>
        </is>
      </c>
      <c r="C196" s="1" t="n">
        <v>24990.0</v>
      </c>
      <c r="D196" s="7" t="n">
        <f>HYPERLINK("https://www.somogyi.hu/product/home-pvr-50-padloventilator-120-w-3-fokozat-50-cm-es-lapatatmero-allithato-fejdolesszog-fem-lapatok-fem-racs-pvr-50-13348","https://www.somogyi.hu/product/home-pvr-50-padloventilator-120-w-3-fokozat-50-cm-es-lapatatmero-allithato-fejdolesszog-fem-lapatok-fem-racs-pvr-50-13348")</f>
        <v>0.0</v>
      </c>
      <c r="E196" s="7" t="n">
        <f>HYPERLINK("https://www.somogyi.hu/data/img/product_main_images/small/13348.jpg","https://www.somogyi.hu/data/img/product_main_images/small/13348.jpg")</f>
        <v>0.0</v>
      </c>
      <c r="F196" s="2" t="inlineStr">
        <is>
          <t>5999084914349</t>
        </is>
      </c>
      <c r="G196" s="4" t="inlineStr">
        <is>
          <t>Vajon megtalálható-e a tökéletes egyensúly erőteljes hűtés és elegáns design között? A Home PVR 50 padlóventilátor bizonyítja, hogy igen.
A Home PVR 50 jellemzője a hatalmas, 50cm-es névleges lapátátmérő, mely biztosítja az intenzív, mégis egyenletes légáramlást minden környezetben. Három fokozatban szabályozható teljesítménye lehetővé teszi a hűtési intenzitás precíz beállítását, így minden igényhez igazodik. A módosítható fejdőlésszög, mely akár 90°-ig is állítható, extra kényelmet nyújt, hiszen Ön dönti el, hogy merre irányuljon a friss levegő.
A ventilátor tartós fém lapátokkal van felszerelve, amelyek garantálják az erős és megbízható teljesítményt, míg a masszív, krómozott védőrács elegáns megjelenést kölcsönöz a készüléknek, ugyanakkor védelmet is nyújt a mozgó alkatrészekkel való érintkezés ellen. A 230 V~/50 Hz-es tápellátás és a 120 W-os teljesítmény biztosítja a folyamatos és gazdaságos működést.
A Home PVR 50 padlóventilátor mérete, 60x58x25cm, ideális bármilyen helyiségben történő elhelyezéshez, legyen szó otthoni vagy irodai környezetről. Az egyszerű, mégis stílusos kialakításnak köszönhetően a ventilátor bármilyen enteriőrbe jól illeszkedik.
Szerezze be a Home PVR 50 padlóventilátort, és élvezze a folyamatos, hűs levegő áramlását akár a legforróbb napokon is. Ne hagyja, hogy a hőség megszakítsa napi rutinját – tegyen egy lépést a komfortos és hűvös környezet felé már ma!</t>
        </is>
      </c>
    </row>
    <row r="197">
      <c r="A197" s="3" t="inlineStr">
        <is>
          <t>PVR 35</t>
        </is>
      </c>
      <c r="B197" s="2" t="inlineStr">
        <is>
          <t>Home PVR 35 padlóventilátor, 60 W, 3 fokozat, 35 cm-es lapátátmérő, állítható fejdőlésszög, fém lapátok, fém rács</t>
        </is>
      </c>
      <c r="C197" s="1" t="n">
        <v>17190.0</v>
      </c>
      <c r="D197" s="7" t="n">
        <f>HYPERLINK("https://www.somogyi.hu/product/home-pvr-35-padloventilator-60-w-3-fokozat-35-cm-es-lapatatmero-allithato-fejdolesszog-fem-lapatok-fem-racs-pvr-35-7405","https://www.somogyi.hu/product/home-pvr-35-padloventilator-60-w-3-fokozat-35-cm-es-lapatatmero-allithato-fejdolesszog-fem-lapatok-fem-racs-pvr-35-7405")</f>
        <v>0.0</v>
      </c>
      <c r="E197" s="7" t="n">
        <f>HYPERLINK("https://www.somogyi.hu/data/img/product_main_images/small/07405.jpg","https://www.somogyi.hu/data/img/product_main_images/small/07405.jpg")</f>
        <v>0.0</v>
      </c>
      <c r="F197" s="2" t="inlineStr">
        <is>
          <t>5998312763940</t>
        </is>
      </c>
      <c r="G197" s="4" t="inlineStr">
        <is>
          <t>Vajon megtalálható-e a tökéletes egyensúly erőteljes hűtés és elegáns design között? A Home PVR 35 padlóventilátor bizonyítja, hogy igen.
A Home PVR 35 jellemzője egy nagy, 35 cm-es névleges lapátátmérő, mely biztosítja az intenzív, mégis egyenletes légáramlást minden környezetben. Három fokozatban szabályozható teljesítménye lehetővé teszi a hűtési intenzitás precíz beállítását, így minden igényhez igazodik. A módosítható fejdőlésszög, mely akár 90°-ig is állítható, extra kényelmet nyújt, hiszen Ön dönti el, hogy merre irányuljon a friss levegő.
A ventilátor tartós fém lapátokkal van felszerelve, amelyek garantálják az erős és megbízható teljesítményt, míg a masszív, krómozott védőrács elegáns megjelenést kölcsönöz a készüléknek, ugyanakkor védelmet is nyújt a mozgó alkatrészekkel való érintkezés ellen. A 230 V~/50 Hz-es tápellátás és a 60 W-os teljesítmény biztosítja a folyamatos és gazdaságos működést.
A Home PVR 35 padlóventilátor mérete, 46x46x20 cm, ideális bármilyen helyiségben történő elhelyezéshez, legyen szó otthoni vagy irodai környezetről. Az egyszerű, mégis stílusos kialakításnak köszönhetően a ventilátor bármilyen enteriőrbe jól illeszkedik.
Szerezze be a Home PVR 35 padlóventilátort, és élvezze a folyamatos, hűs levegő áramlását akár a legforróbb napokon is. Ne hagyja, hogy a hőség megszakítsa napi rutinját – tegyen egy lépést a komfortos és hűvös környezet felé már ma!</t>
        </is>
      </c>
    </row>
    <row r="198">
      <c r="A198" s="3" t="inlineStr">
        <is>
          <t>PVRO 40</t>
        </is>
      </c>
      <c r="B198" s="2" t="inlineStr">
        <is>
          <t>Home PVRO 40 padlóventilátor, 50 W, 3 fokozat, 40 cm-es lapátátmérő, oszcillálás, állítható fejdőlésszög, fém lapátok, fém rács, fekete</t>
        </is>
      </c>
      <c r="C198" s="1" t="n">
        <v>32690.0</v>
      </c>
      <c r="D198" s="7" t="n">
        <f>HYPERLINK("https://www.somogyi.hu/product/home-pvro-40-padloventilator-50-w-3-fokozat-40-cm-es-lapatatmero-oszcillalas-allithato-fejdolesszog-fem-lapatok-fem-racs-fekete-pvro-40-15770","https://www.somogyi.hu/product/home-pvro-40-padloventilator-50-w-3-fokozat-40-cm-es-lapatatmero-oszcillalas-allithato-fejdolesszog-fem-lapatok-fem-racs-fekete-pvro-40-15770")</f>
        <v>0.0</v>
      </c>
      <c r="E198" s="7" t="n">
        <f>HYPERLINK("https://www.somogyi.hu/data/img/product_main_images/small/15770.jpg","https://www.somogyi.hu/data/img/product_main_images/small/15770.jpg")</f>
        <v>0.0</v>
      </c>
      <c r="F198" s="2" t="inlineStr">
        <is>
          <t>5999084938048</t>
        </is>
      </c>
      <c r="G198" s="4" t="inlineStr">
        <is>
          <t>Szeretné, ha a nyári melegben is friss és kellemes lenne a levegő otthonában? A Home PVRO 40 padlóventilátor tökéletes választás a hatékony és kényelmes hűtéshez. 
Ez a ventilátor különleges funkciójával, a tengely védőrácson belüli keringő mozgással (precesszió), biztosítja, hogy a levegőt nagyobb szögben keverje, így még hatékonyabb hűtést biztosít.
A készülék 40 cm névleges lapátátmérővel és strapabíró fém lapátokkal rendelkezik, amelyek erős légáramlást generálnak. Három fokozatú szabályozható teljesítményével könnyedén beállítható a kívánt hűtési szint. Az állítható fejdőlésszög (90°) lehetővé teszi a légáram irányának precíz beállítását, így a ventilátor mindig az Ön igényeinek megfelelően működik.
A Home PVRO 40 padlóventilátor 230 V~/50 Hz/60 W tápellátással működik, és mérete 54 x 50 x 26 cm, ami biztosítja a stabilitást és a könnyű elhelyezést bármely helyiségben. A nagy teljesítményű ventilátor elegáns és praktikus megoldást kínál a nyári hőség ellen.
Frissítse fel otthonát ezzel a kiváló teljesítményű és sokoldalú padlóventilátorral! Vásároljon most, és élvezze a kellemes hűvöset akár egész nyáron!</t>
        </is>
      </c>
    </row>
    <row r="199">
      <c r="A199" s="3" t="inlineStr">
        <is>
          <t>PVR 30B</t>
        </is>
      </c>
      <c r="B199" s="2" t="inlineStr">
        <is>
          <t>Home PVR 30B padlóventilátor, 44,4 W, 3 fokozat, 30 cm-es lapátátmérő, 90°-os oszcillálás, fém lapátok, IPX 4, 6 db 2000 mAh Li-ion akkumulátor</t>
        </is>
      </c>
      <c r="C199" s="1" t="n">
        <v>26690.0</v>
      </c>
      <c r="D199" s="7" t="n">
        <f>HYPERLINK("https://www.somogyi.hu/product/home-pvr-30b-padloventilator-44-4-w-3-fokozat-30-cm-es-lapatatmero-90-os-oszcillalas-fem-lapatok-ipx-4-6-db-2000-mah-li-ion-akkumulator-pvr-30b-16747","https://www.somogyi.hu/product/home-pvr-30b-padloventilator-44-4-w-3-fokozat-30-cm-es-lapatatmero-90-os-oszcillalas-fem-lapatok-ipx-4-6-db-2000-mah-li-ion-akkumulator-pvr-30b-16747")</f>
        <v>0.0</v>
      </c>
      <c r="E199" s="7" t="n">
        <f>HYPERLINK("https://www.somogyi.hu/data/img/product_main_images/small/16747.jpg","https://www.somogyi.hu/data/img/product_main_images/small/16747.jpg")</f>
        <v>0.0</v>
      </c>
      <c r="F199" s="2" t="inlineStr">
        <is>
          <t>5999084947798</t>
        </is>
      </c>
      <c r="G199" s="4" t="inlineStr">
        <is>
          <t>Egy megbízható és hordozható megoldást keres a nyári hőség ellen? A Home PVR 30B padlóventilátor kiemelkedő teljesítményt és rugalmas használatot kínál minden helyzetben.
A készülék 30 cm-es névleges lapátátmérővel rendelkezik, amely biztosítja a nagy területek hatékony hűtését. A fokozatmentesen szabályozható teljesítmény lehetővé teszi a levegőáramlás finom beállítását, miközben a módosítható fejdőlésszög, amely akár 90°-ig is állítható, biztosítja a levegő pontos irányítását. A ventilátor fém lapátjai hosszú élettartamot és tartós teljesítményt ígérnek, míg a masszív fém védőrács extra biztonságot nyújt használat közben.
Az innovatív design részét képezik az akkumulátor töltöttségét jelző LED-ek, amelyek informálják Önt a készülék aktuális energiaszintjéről. A USB kimenet révén a Home PVR 30B nem csak hűsít, hanem lehetővé teszi más eszközök töltését is, így az okostelefonját vagy táblagépét is feltöltheti közvetlenül a ventilátorról. A beépített Li-ion akkumulátorok - 6 db 2000 mAh kapacitású, 18650-es típusú - biztosítják a hosszú üzemidőt és az energiatakarékos működést, melyeket a tartozékként szállított hálózati adapterrel tölthet fel.
Az IPX4 besorolásnak köszönhetően a Home PVR 30B fröccsenő víz ellen is védett, így nem kell aggódnia a nedves környezet okozta problémák miatt. Kompakt méretével, 43x38x18 cm-es dimenzióival könnyedén elhelyezhető és szállítható.
Tegye a nyári napokat elviselhetőbbé a Home PVR 30B padlóventilátorral, amely nem csupán hűt, hanem az elegáns és praktikus kialakításával a mindennapok részévé válik. Rendelje meg most, és hozzon felüdülést a meleg nyári napokra!</t>
        </is>
      </c>
    </row>
    <row r="200">
      <c r="A200" s="6" t="inlineStr">
        <is>
          <t xml:space="preserve">   Hűtés / Fali ventilátor</t>
        </is>
      </c>
      <c r="B200" s="6" t="inlineStr">
        <is>
          <t/>
        </is>
      </c>
      <c r="C200" s="6" t="inlineStr">
        <is>
          <t/>
        </is>
      </c>
      <c r="D200" s="6" t="inlineStr">
        <is>
          <t/>
        </is>
      </c>
      <c r="E200" s="6" t="inlineStr">
        <is>
          <t/>
        </is>
      </c>
      <c r="F200" s="6" t="inlineStr">
        <is>
          <t/>
        </is>
      </c>
      <c r="G200" s="6" t="inlineStr">
        <is>
          <t/>
        </is>
      </c>
    </row>
    <row r="201">
      <c r="A201" s="3" t="inlineStr">
        <is>
          <t>WFM 2</t>
        </is>
      </c>
      <c r="B201" s="2" t="inlineStr">
        <is>
          <t>Home WFM 2 fali ventilátor, 30 W, 3 fokozat, 18 cm-es lapátátmérő, állítható dőlésszög, zsinórkapcsoló, fehér</t>
        </is>
      </c>
      <c r="C201" s="1" t="n">
        <v>18590.0</v>
      </c>
      <c r="D201" s="7" t="n">
        <f>HYPERLINK("https://www.somogyi.hu/product/home-wfm-2-fali-ventilator-30-w-3-fokozat-18-cm-es-lapatatmero-allithato-dolesszog-zsinorkapcsolo-feher-wfm-2-18025","https://www.somogyi.hu/product/home-wfm-2-fali-ventilator-30-w-3-fokozat-18-cm-es-lapatatmero-allithato-dolesszog-zsinorkapcsolo-feher-wfm-2-18025")</f>
        <v>0.0</v>
      </c>
      <c r="E201" s="7" t="n">
        <f>HYPERLINK("https://www.somogyi.hu/data/img/product_main_images/small/18025.jpg","https://www.somogyi.hu/data/img/product_main_images/small/18025.jpg")</f>
        <v>0.0</v>
      </c>
      <c r="F201" s="2" t="inlineStr">
        <is>
          <t>5999084960476</t>
        </is>
      </c>
      <c r="G201" s="4" t="inlineStr">
        <is>
          <t>Gondolkodott már azon, hogyan javíthatná a levegő áramlását otthonában a legkisebb helyiségekben is? A Home WFM 2 fali ventilátor ideális választás, ha helytakarékos és hatékony megoldást keres a levegő hűtésére és keringetésére. 
A ventilátor 18 cm névleges lapátátmérővel és három ventilátorlapáttal rendelkezik, melyek erős és egyenletes légáramlást biztosítanak. A Home WFM 2 három sebességfokozatot kínál, amelyeket könnyedén beállíthat a forgókapcsolóval vagy a zsinórkapcsolókkal. A kapcsolható oszcillálás biztosítja, hogy a levegő egyenletesen oszoljon el a helyiségben, míg az állítható fejdőlésszög lehetővé teszi, hogy a légáramot pontosan oda irányítsa, ahol a legnagyobb szükség van rá.
A készülék zajszintje mindössze 47,5 dB(A), így működése csendes és nem zavaró. A fali ventilátor könnyen felszerelhető a mellékelt csavarok és tiplik segítségével, stabilan rögzítve bármilyen falra. A ventilátor 220 - 240 V~/50 Hz/30 W tápellátással működik, így energiatakarékos és megbízható.
Hozzon frissességet és kellemes hűvöset otthonába ezzel a praktikus és hatékony fali ventilátorral! Vásároljon most, és élvezze a hűsítő légáramlást egész nyáron!</t>
        </is>
      </c>
    </row>
    <row r="202">
      <c r="A202" s="6" t="inlineStr">
        <is>
          <t xml:space="preserve">   Hűtés / Kézi ventilátor</t>
        </is>
      </c>
      <c r="B202" s="6" t="inlineStr">
        <is>
          <t/>
        </is>
      </c>
      <c r="C202" s="6" t="inlineStr">
        <is>
          <t/>
        </is>
      </c>
      <c r="D202" s="6" t="inlineStr">
        <is>
          <t/>
        </is>
      </c>
      <c r="E202" s="6" t="inlineStr">
        <is>
          <t/>
        </is>
      </c>
      <c r="F202" s="6" t="inlineStr">
        <is>
          <t/>
        </is>
      </c>
      <c r="G202" s="6" t="inlineStr">
        <is>
          <t/>
        </is>
      </c>
    </row>
    <row r="203">
      <c r="A203" s="3" t="inlineStr">
        <is>
          <t>HF 9/WH</t>
        </is>
      </c>
      <c r="B203" s="2" t="inlineStr">
        <is>
          <t>Home HF 9/WH kézi, tölthető ventilátor, 4 W, 10 cm-es lapátátmérő, 3 fokozat, 1200 mAh Li-ion akkumulátor, asztali tartó, fehér</t>
        </is>
      </c>
      <c r="C203" s="1" t="n">
        <v>3890.0</v>
      </c>
      <c r="D203" s="7" t="n">
        <f>HYPERLINK("https://www.somogyi.hu/product/home-hf-9-wh-kezi-toltheto-ventilator-4-w-10-cm-es-lapatatmero-3-fokozat-1200-mah-li-ion-akkumulator-asztali-tarto-feher-hf-9-wh-16387","https://www.somogyi.hu/product/home-hf-9-wh-kezi-toltheto-ventilator-4-w-10-cm-es-lapatatmero-3-fokozat-1200-mah-li-ion-akkumulator-asztali-tarto-feher-hf-9-wh-16387")</f>
        <v>0.0</v>
      </c>
      <c r="E203" s="7" t="n">
        <f>HYPERLINK("https://www.somogyi.hu/data/img/product_main_images/small/16387.jpg","https://www.somogyi.hu/data/img/product_main_images/small/16387.jpg")</f>
        <v>0.0</v>
      </c>
      <c r="F203" s="2" t="inlineStr">
        <is>
          <t>5999084944193</t>
        </is>
      </c>
      <c r="G203" s="4" t="inlineStr">
        <is>
          <t>Fáradt a tikkasztó hőségtől és egy gyors hűsítő megoldást keres? A Home HF 9/WH kézi, tölthető ventilátor a válasz a nyári napok kihívásaira, kis mérete ellenére is hatékonyan frissít.
Ez a hordozható ventilátor, 9 cm-es névleges lapátátmérővel rendelkezik, így tökéletes társ a forró nyári napokon, legyen szó akár kültéri vagy beltéri használatról. Kézben tartva vagy az asztali tartójában egyaránt stabilan használható, így Önnek mindig lesz lehetősége a kívánt hűsítő szellő élvezetére. A négy áttetsző műanyag lapát esztétikai szempontból is illeszkedik a modern design követelményeihez, emellett a három különböző sebességfokozat lehetővé teszi, hogy mindenki megtalálja a számára ideális erősséget.
A készülékhez tartozó USB töltővezetéknek köszönhetően a ventilátor egyszerűen tölthető számítógépről vagy más USB csatlakozású eszközről. Az erős 18650-es típusú, 3,7 V /1200 mAh kapacitású Li-ion akkumulátor biztosítja a hosszú üzemidőt, így nem kell aggódni a készülék lemerülése miatt. A bekapcsolt állapotot és a töltöttséget jelző LED-ek segítségével könnyedén nyomon követhető a ventilátor aktuális állapota. A 4W teljesítményű készülék méretei – ∅10,5 x 22 x 6,5 cm – kompakt megoldást kínálnak, így a ventilátort bárhova magával viheti.
Rendelje meg a Home HF 9/WH kézi, tölthető ventilátort még ma, és vigyen magával egy kis hűsítő szellőt, akár a legnagyobb kánikulában is!</t>
        </is>
      </c>
    </row>
    <row r="204">
      <c r="A204" s="6" t="inlineStr">
        <is>
          <t xml:space="preserve">   Rovarriasztó, rágcsálóriasztó, szúnyogháló / Rovarcsapda</t>
        </is>
      </c>
      <c r="B204" s="6" t="inlineStr">
        <is>
          <t/>
        </is>
      </c>
      <c r="C204" s="6" t="inlineStr">
        <is>
          <t/>
        </is>
      </c>
      <c r="D204" s="6" t="inlineStr">
        <is>
          <t/>
        </is>
      </c>
      <c r="E204" s="6" t="inlineStr">
        <is>
          <t/>
        </is>
      </c>
      <c r="F204" s="6" t="inlineStr">
        <is>
          <t/>
        </is>
      </c>
      <c r="G204" s="6" t="inlineStr">
        <is>
          <t/>
        </is>
      </c>
    </row>
    <row r="205">
      <c r="A205" s="3" t="inlineStr">
        <is>
          <t>IK 230</t>
        </is>
      </c>
      <c r="B205" s="2" t="inlineStr">
        <is>
          <t>Home IK 230 beltéri rovarcsapda, 20 m2 hatókörzet, UV-A fény, rovargyűjtő tálca, 1 x 4 W fényforrás</t>
        </is>
      </c>
      <c r="C205" s="1" t="n">
        <v>5190.0</v>
      </c>
      <c r="D205" s="7" t="n">
        <f>HYPERLINK("https://www.somogyi.hu/product/home-ik-230-belteri-rovarcsapda-20-m2-hatokorzet-uv-a-feny-rovargyujto-talca-1-x-4-w-fenyforras-ik-230-14417","https://www.somogyi.hu/product/home-ik-230-belteri-rovarcsapda-20-m2-hatokorzet-uv-a-feny-rovargyujto-talca-1-x-4-w-fenyforras-ik-230-14417")</f>
        <v>0.0</v>
      </c>
      <c r="E205" s="7" t="n">
        <f>HYPERLINK("https://www.somogyi.hu/data/img/product_main_images/small/14417.jpg","https://www.somogyi.hu/data/img/product_main_images/small/14417.jpg")</f>
        <v>0.0</v>
      </c>
      <c r="F205" s="2" t="inlineStr">
        <is>
          <t>5999084924652</t>
        </is>
      </c>
      <c r="G205" s="4" t="inlineStr">
        <is>
          <t>Önt is zavarja, amikor a rovarok megjelennek a lakásában? Az a jelenség pedig kifejezetten taszítja, amikor főzés közben rászállnak az ételre? Tudta, hogy a legyek, szúnyogok és egyéb rovarok rendkívül veszélyes fertőzéseket és megbetegedéseket is terjesztenek? Nem véletlenül fontos, hogy minél jobban távol tartsuk magunkat és az otthonunkat az említett rovaroktól. Az IK 230-as elektromos beltéri rovarcsapda 20 m²-es hatókörzettel rendelkezik. Tisztítása nagyon egyszerűen megoldható, köszönhetően a könnyen kitekerhető rovargyűjtő kosárnak. A csapda 11,5 X 11,5 X 25 cm-es mérete kifejezetten alkalmas a kisebb beltéri helyiségek rovarmentesítésére. Ha Ön is egy hatékony védelmet keres a rovarokkal szemben, akkor ne habozzon tovább és rendelje meg webáruházunkból az elektromos beltéri rovarcsapdát!</t>
        </is>
      </c>
    </row>
    <row r="206">
      <c r="A206" s="3" t="inlineStr">
        <is>
          <t>IKF 50</t>
        </is>
      </c>
      <c r="B206" s="2" t="inlineStr">
        <is>
          <t>Home IKF 50 ventilátoros beltéri rovarcsapda, 50 m2 hatókörzet, UV-A fény, rovargyűjtő kosár, 1 x 7 W fényforrás</t>
        </is>
      </c>
      <c r="C206" s="1" t="n">
        <v>12790.0</v>
      </c>
      <c r="D206" s="7" t="n">
        <f>HYPERLINK("https://www.somogyi.hu/product/home-ikf-50-ventilatoros-belteri-rovarcsapda-50-m2-hatokorzet-uv-a-feny-rovargyujto-kosar-1-x-7-w-fenyforras-ikf-50-17592","https://www.somogyi.hu/product/home-ikf-50-ventilatoros-belteri-rovarcsapda-50-m2-hatokorzet-uv-a-feny-rovargyujto-kosar-1-x-7-w-fenyforras-ikf-50-17592")</f>
        <v>0.0</v>
      </c>
      <c r="E206" s="7" t="n">
        <f>HYPERLINK("https://www.somogyi.hu/data/img/product_main_images/small/17592.jpg","https://www.somogyi.hu/data/img/product_main_images/small/17592.jpg")</f>
        <v>0.0</v>
      </c>
      <c r="F206" s="2" t="inlineStr">
        <is>
          <t>5999084956141</t>
        </is>
      </c>
      <c r="G206" s="4" t="inlineStr">
        <is>
          <t>A beltéri rovarokkal teli lakás kellemetlen érzést okozhat bárkinek. A ventilátoros beltéri rovarcsapda 12 W-os teljesítménnyel és 50 m2-es hatókörrel rendelkezik, így hatékonyan eltávolítja a legyeket, szúnyogokat és más rovarokat az otthonából. Az eszköz lila UV-A fényt bocsát ki, amely vonzza a rovarokat, majd egy erős ventilátor beszippantja őket a rovargyűjtő kosárba. Az UV-A fényforrás 1 x 5 W-os, és házilag nem cserélhető. Az eszköz könnyen tisztítható rovargyűjtő kosárral rendelkezik. Fontos, hogy az eszközt csak a gyártó utasításai szerint használja, és ne működtesse dobozban. A termék tápellátás 230 V~ / 50 Hz / 9 W. Ha szeretné otthona rovarmentesítését, akkor rendelje meg most a ventilátoros beltéri rovarcsapdát webáruházunkból!</t>
        </is>
      </c>
    </row>
    <row r="207">
      <c r="A207" s="3" t="inlineStr">
        <is>
          <t>IKF 40</t>
        </is>
      </c>
      <c r="B207" s="2" t="inlineStr">
        <is>
          <t>Home IKF 40 ventilátoros beltéri rovarcsapda, 40 m2 hatókörzet, UV-A fény, rovargyűjtő kosár, 1 x 7 W fényforrás</t>
        </is>
      </c>
      <c r="C207" s="1" t="n">
        <v>10890.0</v>
      </c>
      <c r="D207" s="7" t="n">
        <f>HYPERLINK("https://www.somogyi.hu/product/home-ikf-40-ventilatoros-belteri-rovarcsapda-40-m2-hatokorzet-uv-a-feny-rovargyujto-kosar-1-x-7-w-fenyforras-ikf-40-17591","https://www.somogyi.hu/product/home-ikf-40-ventilatoros-belteri-rovarcsapda-40-m2-hatokorzet-uv-a-feny-rovargyujto-kosar-1-x-7-w-fenyforras-ikf-40-17591")</f>
        <v>0.0</v>
      </c>
      <c r="E207" s="7" t="n">
        <f>HYPERLINK("https://www.somogyi.hu/data/img/product_main_images/small/17591.jpg","https://www.somogyi.hu/data/img/product_main_images/small/17591.jpg")</f>
        <v>0.0</v>
      </c>
      <c r="F207" s="2" t="inlineStr">
        <is>
          <t>5999084956134</t>
        </is>
      </c>
      <c r="G207" s="4" t="inlineStr">
        <is>
          <t>A beltéri rovarokkal teli lakás kellemetlen érzést okozhat bárkinek. A ventilátoros beltéri rovarcsapda 12 W-os teljesítménnyel és 40 m2-es hatókörrel rendelkezik, így hatékonyan eltávolítja a legyeket, szúnyogokat és más rovarokat az otthonából. Az eszköz lila UV-A fényt bocsát ki, amely vonzza a rovarokat, majd egy erős ventilátor beszippantja őket a rovargyűjtő kosárba. Az UV-A fényforrás 1 x 7 W-os, és házilag nem cserélhető. Az eszköz könnyen tisztítható rovargyűjtő kosárral rendelkezik. Fontos, hogy az eszközt csak a gyártó utasításai szerint használja, és ne működtesse dobozban. A termék tápellátás 230 V~ / 50 Hz / 12 W. Ha szeretné otthona rovarmentesítését, akkor rendelje meg most a ventilátoros beltéri rovarcsapdát webáruházunkból!</t>
        </is>
      </c>
    </row>
    <row r="208">
      <c r="A208" s="3" t="inlineStr">
        <is>
          <t>IKM 150</t>
        </is>
      </c>
      <c r="B208" s="2" t="inlineStr">
        <is>
          <t>Home IKM 150 beltéri rovarcsapda, 150 m2 hatókörzet, UV-A fény, rovargyűjtő tálca, 2 x 18 W fénycső, kapcsolható</t>
        </is>
      </c>
      <c r="C208" s="1" t="n">
        <v>21190.0</v>
      </c>
      <c r="D208" s="7" t="n">
        <f>HYPERLINK("https://www.somogyi.hu/product/home-ikm-150-belteri-rovarcsapda-150-m2-hatokorzet-uv-a-feny-rovargyujto-talca-2-x-18-w-fenycso-kapcsolhato-ikm-150-16280","https://www.somogyi.hu/product/home-ikm-150-belteri-rovarcsapda-150-m2-hatokorzet-uv-a-feny-rovargyujto-talca-2-x-18-w-fenycso-kapcsolhato-ikm-150-16280")</f>
        <v>0.0</v>
      </c>
      <c r="E208" s="7" t="n">
        <f>HYPERLINK("https://www.somogyi.hu/data/img/product_main_images/small/16280.jpg","https://www.somogyi.hu/data/img/product_main_images/small/16280.jpg")</f>
        <v>0.0</v>
      </c>
      <c r="F208" s="2" t="inlineStr">
        <is>
          <t>5999084943127</t>
        </is>
      </c>
      <c r="G208" s="4" t="inlineStr">
        <is>
          <t>Ha szeretné megszabadítani fedett teraszát, erkélyét a bosszantó rovaroktól, akkor az IKM 150 Elektromos rovarcsapda ideális megoldás lehet. Ez a hatékony eszköz akár 150 m2 területen is használható, és a könnyen felakasztható láncnak köszönhetően könnyedén elhelyezhető. A tápkábel hossza 1 m, és a tápellátás 230 V. A 2 db 18 W-os lila UV-A fénycsövei cserélhetőek, amelyeket webáruházunkban T8 F18W BL Pótfénycső néven találhat meg. Az IKM 150 Elektromos rovarcsapda beépített lámpája kifejezetten rovarcsapdaként funkcionál, és nem alkalmas háztartási helyiségek megvilágítására. Védje magát és családját a kellemetlen rovarcsípésektől az IKM 150 Elektromos rovarcsapdával!</t>
        </is>
      </c>
    </row>
    <row r="209">
      <c r="A209" s="3" t="inlineStr">
        <is>
          <t>T5 F8W BL</t>
        </is>
      </c>
      <c r="B209" s="2" t="inlineStr">
        <is>
          <t>Home T5 F8W BL pótfénycső, IKM 50-hez, 8 W</t>
        </is>
      </c>
      <c r="C209" s="1" t="n">
        <v>1290.0</v>
      </c>
      <c r="D209" s="7" t="n">
        <f>HYPERLINK("https://www.somogyi.hu/product/home-t5-f8w-bl-potfenycso-ikm-50-hez-8-w-t5-f8w-bl-15837","https://www.somogyi.hu/product/home-t5-f8w-bl-potfenycso-ikm-50-hez-8-w-t5-f8w-bl-15837")</f>
        <v>0.0</v>
      </c>
      <c r="E209" s="7" t="n">
        <f>HYPERLINK("https://www.somogyi.hu/data/img/product_main_images/small/15837.jpg","https://www.somogyi.hu/data/img/product_main_images/small/15837.jpg")</f>
        <v>0.0</v>
      </c>
      <c r="F209" s="2" t="inlineStr">
        <is>
          <t>5999084938710</t>
        </is>
      </c>
      <c r="G209" s="4" t="inlineStr">
        <is>
          <t>A T5 F8W BL Pótfénycső 8 W-os. 
Az IKM 50 Elektromos rovarcsapdához vásárolható meg.</t>
        </is>
      </c>
    </row>
    <row r="210">
      <c r="A210" s="3" t="inlineStr">
        <is>
          <t>IK 260</t>
        </is>
      </c>
      <c r="B210" s="2" t="inlineStr">
        <is>
          <t>Home IK 260 beltéri rovarcsapda, 50 m2 hatókörzet, UV-A fény, rovargyűjtő tálca, 1 x 18 W fényforrás</t>
        </is>
      </c>
      <c r="C210" s="1" t="n">
        <v>8690.0</v>
      </c>
      <c r="D210" s="7" t="n">
        <f>HYPERLINK("https://www.somogyi.hu/product/home-ik-260-belteri-rovarcsapda-50-m2-hatokorzet-uv-a-feny-rovargyujto-talca-1-x-18-w-fenyforras-ik-260-17590","https://www.somogyi.hu/product/home-ik-260-belteri-rovarcsapda-50-m2-hatokorzet-uv-a-feny-rovargyujto-talca-1-x-18-w-fenyforras-ik-260-17590")</f>
        <v>0.0</v>
      </c>
      <c r="E210" s="7" t="n">
        <f>HYPERLINK("https://www.somogyi.hu/data/img/product_main_images/small/17590.jpg","https://www.somogyi.hu/data/img/product_main_images/small/17590.jpg")</f>
        <v>0.0</v>
      </c>
      <c r="F210" s="2" t="inlineStr">
        <is>
          <t>5999084956127</t>
        </is>
      </c>
      <c r="G210" s="4" t="inlineStr">
        <is>
          <t>Az IK 260 beltéri rovarcsapda hatékony megoldást kínál az otthonában megjelenő rovarok ellen. Az eszköz nagy hatékonysággal működik, és alkalmas akár 50 m2-es terület megtisztítására is.
Az UV-A fény segítségével a rovarok vonzására szolgál, amelyek ezután a kitekerhető rovargyűjtő tálca segítségével könnyedén eltávolíthatók. Az eszköz 18 W-os UV-A fényforrással működik, amelynek cseréjét csak szakember végezheti el. Fontos, hogy az eszközt csak a gyártó utasításai szerint használjuk, és ne működtessük dobozban. Az eszköz tápellátása 230 V~ / 50 Hz / 18 W.
Ha szeretné megszabadulni a rovaroktól az otthonában, ne habozzon megrendelni az UV-A fényű elektromos beltéri rovarcsapdát webáruházunkból!</t>
        </is>
      </c>
    </row>
    <row r="211">
      <c r="A211" s="3" t="inlineStr">
        <is>
          <t>IKM 50</t>
        </is>
      </c>
      <c r="B211" s="2" t="inlineStr">
        <is>
          <t>Home IKM 50 beltéri rovarcsapda, 50 m2 hatókörzet, UV-A fény, rovargyűjtő tálca, 2 x 8 W fénycső, kapcsolható</t>
        </is>
      </c>
      <c r="C211" s="1" t="n">
        <v>13790.0</v>
      </c>
      <c r="D211" s="7" t="n">
        <f>HYPERLINK("https://www.somogyi.hu/product/home-ikm-50-belteri-rovarcsapda-50-m2-hatokorzet-uv-a-feny-rovargyujto-talca-2-x-8-w-fenycso-kapcsolhato-ikm-50-15835","https://www.somogyi.hu/product/home-ikm-50-belteri-rovarcsapda-50-m2-hatokorzet-uv-a-feny-rovargyujto-talca-2-x-8-w-fenycso-kapcsolhato-ikm-50-15835")</f>
        <v>0.0</v>
      </c>
      <c r="E211" s="7" t="n">
        <f>HYPERLINK("https://www.somogyi.hu/data/img/product_main_images/small/15835.jpg","https://www.somogyi.hu/data/img/product_main_images/small/15835.jpg")</f>
        <v>0.0</v>
      </c>
      <c r="F211" s="2" t="inlineStr">
        <is>
          <t>5999084938697</t>
        </is>
      </c>
      <c r="G211" s="4" t="inlineStr">
        <is>
          <t>Ha szeretné megszabadítani fedett teraszát, erkélyét a bosszantó rovaroktól, akkor az IKM 50 Elektromos rovarcsapda ideális megoldás lehet. Ez a hatékony eszköz akár 50 m2 területen is használható, és a könnyen felakasztható láncnak köszönhetően könnyedén elhelyezhető. A tápkábel hossza 1 m, és a tápellátás 230 V. A 2 db 8 W-os lila UV-A fénycsövei cserélhetőek, amelyeket webáruházunkban T5 F8W BL Pótfénycső néven találhat meg. Az IKM 50 Elektromos rovarcsapda beépített lámpája kifejezetten rovarcsapdaként funkcionál, és nem alkalmas háztartási helyiségek megvilágítására. Védje magát és családját a kellemetlen rovarcsípésektől az IKM 50 Elektromos rovarcsapdával!</t>
        </is>
      </c>
    </row>
    <row r="212">
      <c r="A212" s="3" t="inlineStr">
        <is>
          <t>T8 F18W BL</t>
        </is>
      </c>
      <c r="B212" s="2" t="inlineStr">
        <is>
          <t>Home T8 F18W BL pótfénycső, IKM 150-hez, 18 W</t>
        </is>
      </c>
      <c r="C212" s="1" t="n">
        <v>1890.0</v>
      </c>
      <c r="D212" s="7" t="n">
        <f>HYPERLINK("https://www.somogyi.hu/product/home-t8-f18w-bl-potfenycso-ikm-150-hez-18-w-t8-f18w-bl-16348","https://www.somogyi.hu/product/home-t8-f18w-bl-potfenycso-ikm-150-hez-18-w-t8-f18w-bl-16348")</f>
        <v>0.0</v>
      </c>
      <c r="E212" s="7" t="n">
        <f>HYPERLINK("https://www.somogyi.hu/data/img/product_main_images/small/16348.jpg","https://www.somogyi.hu/data/img/product_main_images/small/16348.jpg")</f>
        <v>0.0</v>
      </c>
      <c r="F212" s="2" t="inlineStr">
        <is>
          <t>5999084943806</t>
        </is>
      </c>
      <c r="G212" s="4" t="inlineStr">
        <is>
          <t>A T8 F18W BL Pótfénycső 18 W-os. 
Az IKM 150 Elektromos rovarcsapdához vásárolható meg.</t>
        </is>
      </c>
    </row>
    <row r="213">
      <c r="A213" s="3" t="inlineStr">
        <is>
          <t>IK 250</t>
        </is>
      </c>
      <c r="B213" s="2" t="inlineStr">
        <is>
          <t>Home IK 250 beltéri rovarcsapda, 40 m2 hatókörzet, UV-A fény, rovargyűjtő tálca, 1 x 11 W fényforrás</t>
        </is>
      </c>
      <c r="C213" s="1" t="n">
        <v>6890.0</v>
      </c>
      <c r="D213" s="7" t="n">
        <f>HYPERLINK("https://www.somogyi.hu/product/home-ik-250-belteri-rovarcsapda-40-m2-hatokorzet-uv-a-feny-rovargyujto-talca-1-x-11-w-fenyforras-ik-250-17589","https://www.somogyi.hu/product/home-ik-250-belteri-rovarcsapda-40-m2-hatokorzet-uv-a-feny-rovargyujto-talca-1-x-11-w-fenyforras-ik-250-17589")</f>
        <v>0.0</v>
      </c>
      <c r="E213" s="7" t="n">
        <f>HYPERLINK("https://www.somogyi.hu/data/img/product_main_images/small/17589.jpg","https://www.somogyi.hu/data/img/product_main_images/small/17589.jpg")</f>
        <v>0.0</v>
      </c>
      <c r="F213" s="2" t="inlineStr">
        <is>
          <t>5999084956110</t>
        </is>
      </c>
      <c r="G213" s="4" t="inlineStr">
        <is>
          <t>Az IK 250 beltéri rovarcsapda hatékony megoldást kínál az otthonában megjelenő rovarok ellen. Az eszköz nagy hatékonysággal működik, és alkalmas akár 40 m2-es terület megtisztítására is.
Az UV-A fény segítségével a rovarok vonzására szolgál, amelyek ezután a kitekerhető rovargyűjtő tálca segítségével könnyedén eltávolíthatók. Az eszköz 11 W-os UV-A fényforrással működik, amelynek cseréjét csak szakember végezheti el. Fontos, hogy az eszközt csak a gyártó utasításai szerint használjuk, és ne működtessük dobozban. Az eszköz tápellátása 230 V~ / 50 Hz / 11 W.
Ha szeretné megszabadulni a rovaroktól az otthonában, ne habozzon megrendelni az UV-A fényű elektromos beltéri rovarcsapdát webáruházunkból!</t>
        </is>
      </c>
    </row>
    <row r="214">
      <c r="A214" s="3" t="inlineStr">
        <is>
          <t>IK 240</t>
        </is>
      </c>
      <c r="B214" s="2" t="inlineStr">
        <is>
          <t>Home IK 240 beltéri rovarcsapda, 30 m2 hatókörzet, UV-A fény, rovargyűjtő tálca, 1 x 6 W fényforrás</t>
        </is>
      </c>
      <c r="C214" s="1" t="n">
        <v>6390.0</v>
      </c>
      <c r="D214" s="7" t="n">
        <f>HYPERLINK("https://www.somogyi.hu/product/home-ik-240-belteri-rovarcsapda-30-m2-hatokorzet-uv-a-feny-rovargyujto-talca-1-x-6-w-fenyforras-ik-240-14418","https://www.somogyi.hu/product/home-ik-240-belteri-rovarcsapda-30-m2-hatokorzet-uv-a-feny-rovargyujto-talca-1-x-6-w-fenyforras-ik-240-14418")</f>
        <v>0.0</v>
      </c>
      <c r="E214" s="7" t="n">
        <f>HYPERLINK("https://www.somogyi.hu/data/img/product_main_images/small/14418.jpg","https://www.somogyi.hu/data/img/product_main_images/small/14418.jpg")</f>
        <v>0.0</v>
      </c>
      <c r="F214" s="2" t="inlineStr">
        <is>
          <t>5999084924669</t>
        </is>
      </c>
      <c r="G214" s="4" t="inlineStr">
        <is>
          <t>Védekezzen hatékonyan a rovarok ellen az IK 240-es elektromos beltéri rovarcsapdával! Ne engedje, hogy a legyek, szúnyogok és más rovarok veszélyes fertőzéseket terjesszenek otthonában. A könnyen használható és tisztítható rovarcsapda 30 m²-es hatókörzettel rendelkezik, így kifejezetten alkalmas a kisebb beltéri helyiségek rovarmentesítésére. A csapda 13,5 X 13,5 X 32,5 cm-es mérete pedig tökéletesen illeszkedik otthonának bármely részébe. Vásároljon bizalommal webáruházunkból és élvezze az elektromos beltéri rovarcsapda által nyújtott hatékony védelmet!</t>
        </is>
      </c>
    </row>
    <row r="215">
      <c r="A215" s="6" t="inlineStr">
        <is>
          <t xml:space="preserve">   Rovarriasztó, rágcsálóriasztó, szúnyogháló / Kisállatriasztó, rágcsálóriasztó, rovarriasztó</t>
        </is>
      </c>
      <c r="B215" s="6" t="inlineStr">
        <is>
          <t/>
        </is>
      </c>
      <c r="C215" s="6" t="inlineStr">
        <is>
          <t/>
        </is>
      </c>
      <c r="D215" s="6" t="inlineStr">
        <is>
          <t/>
        </is>
      </c>
      <c r="E215" s="6" t="inlineStr">
        <is>
          <t/>
        </is>
      </c>
      <c r="F215" s="6" t="inlineStr">
        <is>
          <t/>
        </is>
      </c>
      <c r="G215" s="6" t="inlineStr">
        <is>
          <t/>
        </is>
      </c>
    </row>
    <row r="216">
      <c r="A216" s="3" t="inlineStr">
        <is>
          <t>VKS 02</t>
        </is>
      </c>
      <c r="B216" s="2" t="inlineStr">
        <is>
          <t>Home VKS 02 napelemes vakondriasztó karó, hangrezgés, 350 m2 hatókörzet, szolárpanel, 400 - 1000 Hz, rágcsálók</t>
        </is>
      </c>
      <c r="C216" s="1" t="n">
        <v>3690.0</v>
      </c>
      <c r="D216" s="7" t="n">
        <f>HYPERLINK("https://www.somogyi.hu/product/home-vks-02-napelemes-vakondriaszto-karo-hangrezges-350-m2-hatokorzet-szolarpanel-400-1000-hz-ragcsalok-vks-02-13329","https://www.somogyi.hu/product/home-vks-02-napelemes-vakondriaszto-karo-hangrezges-350-m2-hatokorzet-szolarpanel-400-1000-hz-ragcsalok-vks-02-13329")</f>
        <v>0.0</v>
      </c>
      <c r="E216" s="7" t="n">
        <f>HYPERLINK("https://www.somogyi.hu/data/img/product_main_images/small/13329.jpg","https://www.somogyi.hu/data/img/product_main_images/small/13329.jpg")</f>
        <v>0.0</v>
      </c>
      <c r="F216" s="2" t="inlineStr">
        <is>
          <t>5999084914158</t>
        </is>
      </c>
      <c r="G216" s="4" t="inlineStr">
        <is>
          <t>Zavarja, hogy az udvarában gyakorta felütik a fejüket a vakondtúrások? Tudta, hogy amellett, hogy a vakondok otromba túrásokat hagynak maguk után, jelentősen rontják az adott talajnak a minőségét is? Ha mindezt Ön sem szeretné, akkor a VKS 02-es típusú napelemes vakondriasztó karóra lesz szüksége! A vakondriasztó karó az előnyös szerkezeti kialakításának köszönhetően olyan rezgést bocsájt ki, amely hatékonyan elriasztja a földalatti rágcsálókat. A rezgéseket 30 mp-enként ismétlődnek, így garantálva az állandó rágcsáló elleni védelmet. A beépített akkumulátorának köszönhetően pedig sötétben is működőképes marad. A napelemes karó 350 m²-es hatóterülettel rendelkezik ezért kifejezetten ajánlott azok számára, akik egy kisebb udvar védelmét szeretnék biztosítani.</t>
        </is>
      </c>
    </row>
    <row r="217">
      <c r="A217" s="3" t="inlineStr">
        <is>
          <t>UH 10</t>
        </is>
      </c>
      <c r="B217" s="2" t="inlineStr">
        <is>
          <t>Home UH 10 ultrahangos rovarriasztó, 30 m2 hatókörzet, zárt térben, konnektoros</t>
        </is>
      </c>
      <c r="C217" s="1" t="n">
        <v>1190.0</v>
      </c>
      <c r="D217" s="7" t="n">
        <f>HYPERLINK("https://www.somogyi.hu/product/home-uh-10-ultrahangos-rovarriaszto-30-m2-hatokorzet-zart-terben-konnektoros-uh-10-14404","https://www.somogyi.hu/product/home-uh-10-ultrahangos-rovarriaszto-30-m2-hatokorzet-zart-terben-konnektoros-uh-10-14404")</f>
        <v>0.0</v>
      </c>
      <c r="E217" s="7" t="n">
        <f>HYPERLINK("https://www.somogyi.hu/data/img/product_main_images/small/14404.jpg","https://www.somogyi.hu/data/img/product_main_images/small/14404.jpg")</f>
        <v>0.0</v>
      </c>
      <c r="F217" s="2" t="inlineStr">
        <is>
          <t>5999084924522</t>
        </is>
      </c>
      <c r="G217" s="4" t="inlineStr">
        <is>
          <t>Ön is nehezen viseli el a melegben megjelenő rovarok hadát? Netalántán a közeljövőben olyan helyre tervez elutazni, ahol garantáltan számíthat a szúnyogok és legyek tömkelegére? Ez esetben érdemes beszereznie egy kisméretű ultrahangos rovarriasztót. Az UH 10-es típusú rovarriasztó a kis méret és könnyed hordozhatóság mellett számtalan egyéb praktikus tulajdonsággal is rendelkezik, amelyek közül kiemelendő a 30 m²-es hatókörzete. Emellett használata megoldható bármilyen árammal ellátott konnektorban. Ha Ön is az egyszerű és praktikus megoldások híve, akkor ebben termékben garantáltan nem fog csalódni.</t>
        </is>
      </c>
    </row>
    <row r="218">
      <c r="A218" s="3" t="inlineStr">
        <is>
          <t>VKS 04</t>
        </is>
      </c>
      <c r="B218" s="2" t="inlineStr">
        <is>
          <t>Home VKS 04 napelemes vakondriasztó karó, LED fény, hangrezgés, 800 m2 hatókörzet, szolárpanel, 400 - 1000 Hz, rágcsálók</t>
        </is>
      </c>
      <c r="C218" s="1" t="n">
        <v>3990.0</v>
      </c>
      <c r="D218" s="7" t="n">
        <f>HYPERLINK("https://www.somogyi.hu/product/home-vks-04-napelemes-vakondriaszto-karo-led-feny-hangrezges-800-m2-hatokorzet-szolarpanel-400-1000-hz-ragcsalok-vks-04-14332","https://www.somogyi.hu/product/home-vks-04-napelemes-vakondriaszto-karo-led-feny-hangrezges-800-m2-hatokorzet-szolarpanel-400-1000-hz-ragcsalok-vks-04-14332")</f>
        <v>0.0</v>
      </c>
      <c r="E218" s="7" t="n">
        <f>HYPERLINK("https://www.somogyi.hu/data/img/product_main_images/small/14332.jpg","https://www.somogyi.hu/data/img/product_main_images/small/14332.jpg")</f>
        <v>0.0</v>
      </c>
      <c r="F218" s="2" t="inlineStr">
        <is>
          <t>5999084923808</t>
        </is>
      </c>
      <c r="G218" s="4" t="inlineStr">
        <is>
          <t>Zavarja, hogy az birtokán gyakorta felütik a fejüket a vakondtúrások? Mindemellett a nagyobb méretű földterület adottságaiból kifolyólag nem csak esztétikai, hanem jelentős anyagi károk is érhetik? Ez esetben Önnek is a VKS 04-es LED fénnyel ellátott napelemes vakondriasztó karóra lesz szüksége, amely rezgéseivel hatékonyan elriasztja a földalatti rágcsálókat. A beépített akkumulátorának köszönhetően pedig a vakondriasztó a sötétben is folyamatosan üzemelhet. A LED világítás a szár felső részében látható, amely egyben jelzi számunkra az eszköz működését. A karó 50 mp-enként ad ki rezgéseket, amely ennek az ismétlődésnek köszönhetően hatékony védelmet biztosít, akár 800 m²-es területen is. Ha Ön is az ideális vakondriasztót keresi, akkor ne habozzon és rendelje meg most webáruházunkból!</t>
        </is>
      </c>
    </row>
    <row r="219">
      <c r="A219" s="3" t="inlineStr">
        <is>
          <t>IN 22150</t>
        </is>
      </c>
      <c r="B219" s="2" t="inlineStr">
        <is>
          <t>Silverline IN 22150 mechanikus egérfogó, egyedi mechanizmus, könnyen üríthető</t>
        </is>
      </c>
      <c r="C219" s="1" t="n">
        <v>1650.0</v>
      </c>
      <c r="D219" s="7" t="n">
        <f>HYPERLINK("https://www.somogyi.hu/product/silverline-in-22150-mechanikus-egerfogo-egyedi-mechanizmus-konnyen-uritheto-in-22150-16889","https://www.somogyi.hu/product/silverline-in-22150-mechanikus-egerfogo-egyedi-mechanizmus-konnyen-uritheto-in-22150-16889")</f>
        <v>0.0</v>
      </c>
      <c r="E219" s="7" t="n">
        <f>HYPERLINK("https://www.somogyi.hu/data/img/product_main_images/small/16889.jpg","https://www.somogyi.hu/data/img/product_main_images/small/16889.jpg")</f>
        <v>0.0</v>
      </c>
      <c r="F219" s="2" t="inlineStr">
        <is>
          <t>7350007337085</t>
        </is>
      </c>
      <c r="G219" s="4" t="inlineStr">
        <is>
          <t>Hogyan védekezhet hatékonyan az egerek ellen anélkül, hogy közvetlenül érintkeznie kellene velük?
A Silverline IN 22150 mechanikus egérfogó innovatív megoldást kínál az egerek gyors és biztonságos elfogására. Az egyedi mechanizmus garantálja a hatékony működést, miközben a csapda kialakítása lehetővé teszi az egyszerű ürítést, elkerülve az elpusztult egérrel való közvetlen kontaktust. Újrafelhasználható és többféle csalival is tölthető, így gazdaságos és környezetbarát megoldást nyújt mind otthoni, mind ipari felhasználásra.
Hatékony és biztonságos működés
Az egyedi mechanizmus precíz kialakítása biztosítja, hogy a csapda gyorsan és hatékonyan működjön, minimalizálva az egerek megszökésének esélyét. A mechanizmus kialakítása révén a csapda ürítése rendkívül egyszerű, anélkül hogy az elpusztult egérrel érintkeznie kellene. Ez nemcsak higiénikusabbá, hanem kényelmesebbé is teszi a használatot.
Újra felhasználható, hosszú élettartamú eszköz
A csapda strapabíró anyagokból készült, amelyek lehetővé teszik a többszöri használatot. Újratölthető, így gazdaságosabb megoldást kínál, mint az egyszer használatos csapdák. A többféle csali használatának lehetősége növeli a hatékonyságot, mivel könnyedén alkalmazkodhat az adott környezet igényeihez és az egerek táplálkozási szokásaihoz.
Gyermekek és kisállatok számára biztonságos kialakítás
A Silverline IN 22150 mechanikus egérfogó biztonságos kialakítása megakadályozza, hogy a csapda véletlenül működésbe lépjen, ha gyermekek vagy kisállatok érintik meg. Ezáltal otthoni környezetben is nyugodtan használható anélkül, hogy balesetveszélyt jelentene a család számára.
Kompakt méret a diszkrét elhelyezéshez
A mindössze 55 x 50 x 135 mm méretű egérfogó kompakt és könnyen elhelyezhető a legszűkebb helyeken is, például bútorok mögött, kamrákban vagy padlásokon. A diszkrét megjelenésnek köszönhetően nem zavarja otthona esztétikáját, miközben hatékony védelmet nyújt az egerek ellen.
Miért válassza a Silverline IN 22150 mechanikus egérfogót?
– Egyedi mechanizmus, amely garantálja a hatékony fogást 
– Egyszerű és higiénikus ürítés, közvetlen kontaktus nélkül 
– Újrafelhasználható, strapabíró kialakítás hosszú távú használatra 
– Többféle csalival tölthető, a maximális hatékonyság érdekében 
– Gyermekek és kisállatok számára biztonságos, otthoni környezetben is nyugodtan alkalmazható 
– Kompakt méret, amely diszkrét elhelyezést biztosít
A Silverline IN 22150 mechanikus egérfogó megbízható és praktikus megoldást kínál az egerek elleni védekezéshez. Válassza ezt a modern és higiénikus eszközt, hogy gyorsan és biztonságosan megszabaduljon az egerektől, és megóvja otthonát a kellemetlen kártevőktől!</t>
        </is>
      </c>
    </row>
    <row r="220">
      <c r="A220" s="3" t="inlineStr">
        <is>
          <t>UH11</t>
        </is>
      </c>
      <c r="B220" s="2" t="inlineStr">
        <is>
          <t>Home UH11 ultrahangos szúnyogriasztó, repülő rovarok, változó frekvencia, éjszakai irányfény, LED fényforrás</t>
        </is>
      </c>
      <c r="C220" s="1" t="n">
        <v>4490.0</v>
      </c>
      <c r="D220" s="7" t="n">
        <f>HYPERLINK("https://www.somogyi.hu/product/home-uh11-ultrahangos-szunyogriaszto-repulo-rovarok-valtozo-frekvencia-ejszakai-iranyfeny-led-fenyforras-uh11-18447","https://www.somogyi.hu/product/home-uh11-ultrahangos-szunyogriaszto-repulo-rovarok-valtozo-frekvencia-ejszakai-iranyfeny-led-fenyforras-uh11-18447")</f>
        <v>0.0</v>
      </c>
      <c r="E220" s="7" t="n">
        <f>HYPERLINK("https://www.somogyi.hu/data/img/product_main_images/small/18447.jpg","https://www.somogyi.hu/data/img/product_main_images/small/18447.jpg")</f>
        <v>0.0</v>
      </c>
      <c r="F220" s="2" t="inlineStr">
        <is>
          <t>5999084964658</t>
        </is>
      </c>
      <c r="G220" s="4" t="inlineStr">
        <is>
          <t>Unja már a nyári estéken a szúnyogok zümmögését? A Home UH11 ultrahangos szúnyogriasztó ideális megoldást nyújt, hogy nyugodtan élvezhesse a szabadban töltött időt zavaró rovarok nélkül.
Ez a készülék speciális ultrahang technológiával működik, amely változó frekvencián riasztja el a repülő rovarokat és szúnyogokat, így biztosítva a nyugodt környezetet otthonában vagy akár a kertjében. A beépített, kapcsolható éjszakai irányfény tovább növeli a használat kényelmét, ideális választás éjjeli használatra is. A LED fényforrás fix, cseréje nem szükséges, így a karbantartása egyszerű és gyors.
A Home UH11 ultrahangos szúnyogriasztó közvetlenül a 220-240V-os hálózatról működik, nincs szükség külön tápegységre vagy elemre. Kompakt kialakítása miatt diszkréten elhelyezhető bármelyik konnektorban. Bízza a rovarriasztást ezen hatékony készülékre, és élvezze a nyári estéket a szabadban zavartalanul!</t>
        </is>
      </c>
    </row>
    <row r="221">
      <c r="A221" s="3" t="inlineStr">
        <is>
          <t>AR 01</t>
        </is>
      </c>
      <c r="B221" s="2" t="inlineStr">
        <is>
          <t>Home AR 01 állatriasztó karó, PIR mozgásérzékelő, ultrahang, fényjelzés, 13 - 60 kHz, napelem</t>
        </is>
      </c>
      <c r="C221" s="1" t="n">
        <v>9790.0</v>
      </c>
      <c r="D221" s="7" t="n">
        <f>HYPERLINK("https://www.somogyi.hu/product/home-ar-01-allatriaszto-karo-pir-mozgaserzekelo-ultrahang-fenyjelzes-13-60-khz-napelem-ar-01-17049","https://www.somogyi.hu/product/home-ar-01-allatriaszto-karo-pir-mozgaserzekelo-ultrahang-fenyjelzes-13-60-khz-napelem-ar-01-17049")</f>
        <v>0.0</v>
      </c>
      <c r="E221" s="7" t="n">
        <f>HYPERLINK("https://www.somogyi.hu/data/img/product_main_images/small/17049.jpg","https://www.somogyi.hu/data/img/product_main_images/small/17049.jpg")</f>
        <v>0.0</v>
      </c>
      <c r="F221" s="2" t="inlineStr">
        <is>
          <t>5999084950811</t>
        </is>
      </c>
      <c r="G221" s="4" t="inlineStr">
        <is>
          <t>Az állatriasztó karó a kertjében vagy udvarában kóborló állatok távoltartására tökéletes megoldás.
A karót a talajba letűzve, nappal ultrahanggal, éjjel fényjelzéssel és ultrahanggal riasztja el a nem kívánt kóbor kutyákat, alkalmas macska, róka, nyest és kisebb rágcsálók elijesztésére is.
Egyszerűen tűzze a karót a talajba és máris élvezheti annak előnyeit. A készülék 13-60 KHz frekvenciával működik, és 8 méteres körzetben, 120 fokos mozgásérzékelési sávban tartja távol a nem kívánt betolakodókat. Ne hagyja, hogy az állatok lerombolják a kertjét, válassaz az állatriasztó karót!</t>
        </is>
      </c>
    </row>
    <row r="222">
      <c r="A222" s="3" t="inlineStr">
        <is>
          <t>IN 25301</t>
        </is>
      </c>
      <c r="B222" s="2" t="inlineStr">
        <is>
          <t>Silverline IN 25301 elektromos egér- és patkányriasztó, 50 m2 hatókörzet, ultrahang, beltéri, konnektoros</t>
        </is>
      </c>
      <c r="C222" s="1" t="n">
        <v>13190.0</v>
      </c>
      <c r="D222" s="7" t="n">
        <f>HYPERLINK("https://www.somogyi.hu/product/silverline-in-25301-elektromos-eger-es-patkanyriaszto-50-m2-hatokorzet-ultrahang-belteri-konnektoros-in-25301-16865","https://www.somogyi.hu/product/silverline-in-25301-elektromos-eger-es-patkanyriaszto-50-m2-hatokorzet-ultrahang-belteri-konnektoros-in-25301-16865")</f>
        <v>0.0</v>
      </c>
      <c r="E222" s="7" t="n">
        <f>HYPERLINK("https://www.somogyi.hu/data/img/product_main_images/small/16865.jpg","https://www.somogyi.hu/data/img/product_main_images/small/16865.jpg")</f>
        <v>0.0</v>
      </c>
      <c r="F222" s="2" t="inlineStr">
        <is>
          <t>7350007336576</t>
        </is>
      </c>
      <c r="G222" s="4" t="inlineStr">
        <is>
          <t>A minőségi, megbízható svéd Silverline IN 25301 Elektromos egér- és patkányriasztó ultrahangos jelkibocsájtással képes beltéren elriasztani a rágcsálókat akár 50 m2 hatótávolságon belül. 
Környezetbarát kivitelben, méreg felhasználása nélkül működik, így a gyerekekre, háziállatokra ártalmatlan. 
Tápellátása 230 V. 
Használja a környezetbarát elektromos egér- és patkányriasztót a rágcsálók elriasztására.</t>
        </is>
      </c>
    </row>
    <row r="223">
      <c r="A223" s="3" t="inlineStr">
        <is>
          <t>IN 25308</t>
        </is>
      </c>
      <c r="B223" s="2" t="inlineStr">
        <is>
          <t>Silverline IN 25308 elektromos egér- és patkányriasztó, 130 m2 / 400 m2 hatókörzet, ultrahang és elektromágneses impulzus, beltéri, konnektoros</t>
        </is>
      </c>
      <c r="C223" s="1" t="n">
        <v>33990.0</v>
      </c>
      <c r="D223" s="7" t="n">
        <f>HYPERLINK("https://www.somogyi.hu/product/silverline-in-25308-elektromos-eger-es-patkanyriaszto-130-m2-400-m2-hatokorzet-ultrahang-es-elektromagneses-impulzus-belteri-konnektoros-in-25308-16869","https://www.somogyi.hu/product/silverline-in-25308-elektromos-eger-es-patkanyriaszto-130-m2-400-m2-hatokorzet-ultrahang-es-elektromagneses-impulzus-belteri-konnektoros-in-25308-16869")</f>
        <v>0.0</v>
      </c>
      <c r="E223" s="7" t="n">
        <f>HYPERLINK("https://www.somogyi.hu/data/img/product_main_images/small/16869.jpg","https://www.somogyi.hu/data/img/product_main_images/small/16869.jpg")</f>
        <v>0.0</v>
      </c>
      <c r="F223" s="2" t="inlineStr">
        <is>
          <t>7350007336651</t>
        </is>
      </c>
      <c r="G223" s="4" t="inlineStr">
        <is>
          <t>A minőségi, megbízható svéd Silverline IN 25308 Elektromos egér- és patkányriasztó ultrahang és elektromágneses impulzus kombinációjával képes beltéren elriasztani a rágcsálókat. Az ultrahang 130 m2, az elektromágneses impulzus 400 m2 hatótávolsággal rendelkezik. 
Környezetbarát kivitelben, méreg felhasználása nélkül működik, így a gyerekekre, háziállatokra ártalmatlan. 
Tápellátása 230 V. 
Használja a környezetbarát elektromos egér- és patkányriasztót a kártevők elriasztására.</t>
        </is>
      </c>
    </row>
    <row r="224">
      <c r="A224" s="3" t="inlineStr">
        <is>
          <t>UH12</t>
        </is>
      </c>
      <c r="B224" s="2" t="inlineStr">
        <is>
          <t>Home UH12 DualEffect rágcsálóriasztó, ultrahangos és elektromágneses, egér, patkány, fix vagy váltakozó frekvenciák, éjszakai irányfény, LED fényforrás</t>
        </is>
      </c>
      <c r="C224" s="1" t="n">
        <v>8690.0</v>
      </c>
      <c r="D224" s="7" t="n">
        <f>HYPERLINK("https://www.somogyi.hu/product/home-uh12-dualeffect-ragcsaloriaszto-ultrahangos-es-elektromagneses-eger-patkany-fix-vagy-valtakozo-frekvenciak-ejszakai-iranyfeny-led-fenyforras-uh12-18448","https://www.somogyi.hu/product/home-uh12-dualeffect-ragcsaloriaszto-ultrahangos-es-elektromagneses-eger-patkany-fix-vagy-valtakozo-frekvenciak-ejszakai-iranyfeny-led-fenyforras-uh12-18448")</f>
        <v>0.0</v>
      </c>
      <c r="E224" s="7" t="n">
        <f>HYPERLINK("https://www.somogyi.hu/data/img/product_main_images/small/18448.jpg","https://www.somogyi.hu/data/img/product_main_images/small/18448.jpg")</f>
        <v>0.0</v>
      </c>
      <c r="F224" s="2" t="inlineStr">
        <is>
          <t>5999084964665</t>
        </is>
      </c>
      <c r="G224" s="4" t="inlineStr">
        <is>
          <t>Zaklatják otthonában a nem kívánt rágcsálók? A Home UH12 DualEffect rágcsálóriasztó hatékony védelmet nyújt patkányok, egerek és más kis rágcsálók ellen, így biztosítva a nyugalmát egyetlen készülékkel.
Ez a készülék ultrahanggal működik, melynek frekvenciája állítható fixről változóra, így alkalmazkodva a környezethez és a zavarandó állatokhoz. Az elektromágneses hullámok fokozott zavaró hatással bírnak, amely kifejezetten hatásos a rágcsálók távoltartásában. További előnye a beépített, kapcsolható éjszakai irányfény, amely segít a készülék éjszakai használatában is.
A Home UH12 DualEffect rágcsálóriasztó közvetlenül a hálózatról üzemel, így nincs szükség külön elemekre vagy akkumulátorra. A LED fényforrás nem cserélhető, ezáltal a karbantartás egyszerű és gyors. Alkalmazza ezt a rágcsálóriasztót, és élvezze a rágcsálómentes otthont zavartalanul!</t>
        </is>
      </c>
    </row>
    <row r="225">
      <c r="A225" s="3" t="inlineStr">
        <is>
          <t>IN 25306</t>
        </is>
      </c>
      <c r="B225" s="2" t="inlineStr">
        <is>
          <t>Silverline IN 25306 elektromos egér- és patkányriasztó, 80 m2 / 200 m2 hatókörzet, ultrahang és elektromágneses impulzus, beltéri, konnektoros</t>
        </is>
      </c>
      <c r="C225" s="1" t="n">
        <v>25890.0</v>
      </c>
      <c r="D225" s="7" t="n">
        <f>HYPERLINK("https://www.somogyi.hu/product/silverline-in-25306-elektromos-eger-es-patkanyriaszto-80-m2-200-m2-hatokorzet-ultrahang-es-elektromagneses-impulzus-belteri-konnektoros-in-25306-16868","https://www.somogyi.hu/product/silverline-in-25306-elektromos-eger-es-patkanyriaszto-80-m2-200-m2-hatokorzet-ultrahang-es-elektromagneses-impulzus-belteri-konnektoros-in-25306-16868")</f>
        <v>0.0</v>
      </c>
      <c r="E225" s="7" t="n">
        <f>HYPERLINK("https://www.somogyi.hu/data/img/product_main_images/small/16868.jpg","https://www.somogyi.hu/data/img/product_main_images/small/16868.jpg")</f>
        <v>0.0</v>
      </c>
      <c r="F225" s="2" t="inlineStr">
        <is>
          <t>7350007336637</t>
        </is>
      </c>
      <c r="G225" s="4" t="inlineStr">
        <is>
          <t>A minőségi, megbízható svéd Silverline IN 25306 Elektromos egér- és patkányriasztó ultrahang és elektromágneses impulzus kombinációjával képes beltéren elriasztani a rágcsálókat. Az ultrahang 80 m2, az elektromágneses impulzus 200 m2 hatótávolsággal rendelkezik. 
Környezetbarát kivitelben, méreg felhasználása nélkül működik, így a gyerekekre, háziállatokra ártalmatlan. 
Tápellátása 230 V. 
Használja a környezetbarát elektromos egér- és patkányriasztót a kártevők elriasztására.</t>
        </is>
      </c>
    </row>
    <row r="226">
      <c r="A226" s="3" t="inlineStr">
        <is>
          <t>IN 22142</t>
        </is>
      </c>
      <c r="B226" s="2" t="inlineStr">
        <is>
          <t>Silverline IN 22142 mechanikus patkányfogó, DoubleTrap funkció</t>
        </is>
      </c>
      <c r="C226" s="1" t="n">
        <v>1650.0</v>
      </c>
      <c r="D226" s="7" t="n">
        <f>HYPERLINK("https://www.somogyi.hu/product/silverline-in-22142-mechanikus-patkanyfogo-doubletrap-funkcio-in-22142-16892","https://www.somogyi.hu/product/silverline-in-22142-mechanikus-patkanyfogo-doubletrap-funkcio-in-22142-16892")</f>
        <v>0.0</v>
      </c>
      <c r="E226" s="7" t="n">
        <f>HYPERLINK("https://www.somogyi.hu/data/img/product_main_images/small/16892.jpg","https://www.somogyi.hu/data/img/product_main_images/small/16892.jpg")</f>
        <v>0.0</v>
      </c>
      <c r="F226" s="2" t="inlineStr">
        <is>
          <t>7350007336774</t>
        </is>
      </c>
      <c r="G226" s="4" t="inlineStr">
        <is>
          <t>Küzd a patkányok ellen, és hatékony, ugyanakkor higiénikus megoldást keres?
A Silverline IN 22142 mechanikus patkányfogó, más néven RatTrap „Brave R1”, egy innovatív és rendkívül hatékony eszköz, amelyet kifejezetten a patkányok gyors és eredményes elfogására terveztek. A praktikus DoubleTrap funkciónak köszönhetően két csapda is összekapcsolható, így még nagyobb területen biztosíthatja az optimális védelmet. A műanyagból készült strapabíró kialakítás higiénikus és könnyen tisztítható megoldást kínál, amely ideális otthoni, ipari és mezőgazdasági környezetben egyaránt.
Kiemelkedő hatékonyság a DoubleTrap funkcióval
A DoubleTrap funkció lehetővé teszi, hogy két csapdát összekapcsolva még nagyobb területet fedjen le, növelve a fogás hatékonyságát. Ez különösen hasznos olyan helyeken, ahol fokozott a patkányok jelenléte, például pincékben, raktárakban vagy élelmiszertárolókban. A mechanikus működés gyors és biztos fogást eredményez, minimalizálva a patkányok okozta károkat.
Strapabíró és higiénikus műanyag kivitel
A csapda tartós műanyagból készült, amely ellenáll a nedvességnek és a környezeti hatásoknak, így hosszú távon megbízható működést nyújt. A műanyag anyagnak köszönhetően könnyen tisztítható, így biztosítható a higiénikus használat, különösen élelmiszerközeli környezetben. Az ergonomikus kialakítású fogómechanizmus precízen működik, és minimalizálja a hibás fogások esélyét.
Kompakt méret a diszkrét elhelyezéshez
A 2,4 x 19 x 8 cm méretű patkányfogó kompakt kialakításának köszönhetően szinte bárhol diszkréten elhelyezhető. Legyen szó sarkokról, falak mentén húzódó járatokról vagy nehezen hozzáférhető helyekről, a csapda könnyedén elfér, és hatékonyan végzi a dolgát. Az egyszerű beállítás és működtetés révén időt és energiát takaríthat meg.
Miért válassza a Silverline IN 22142 mechanikus patkányfogót?
– DoubleTrap funkció, amely lehetővé teszi a hatékonyság növelését több csapda összekapcsolásával 
– Strapabíró, higiénikus műanyag kivitel, amely könnyen tisztítható 
– Kompakt, 2,4 x 19 x 8 cm-es méret, amely diszkrét elhelyezést tesz lehetővé
 – Egyszerű használat és gyors telepítés, amely időt takarít meg 
– Ideális otthoni, ipari és mezőgazdasági felhasználásra
A Silverline IN 22142 mechanikus patkányfogó segítségével hatékonyan védekezhet a patkányok ellen, miközben biztosítja a higiénikus és hosszú távú használatot. Ne hagyja, hogy a patkányok kárt tegyenek otthonában vagy vállalkozásában – válassza ezt a modern és megbízható csapdát, és biztosítsa a nyugodt, tiszta környezetet!</t>
        </is>
      </c>
    </row>
    <row r="227">
      <c r="A227" s="3" t="inlineStr">
        <is>
          <t>ESR01A</t>
        </is>
      </c>
      <c r="B227" s="2" t="inlineStr">
        <is>
          <t>Home ESR01A elektromos seregélyriasztó, alkonykapcsolós, 5-15KHz frekvencia, elemes</t>
        </is>
      </c>
      <c r="C227" s="1" t="n">
        <v>9990.0</v>
      </c>
      <c r="D227" s="7" t="n">
        <f>HYPERLINK("https://www.somogyi.hu/product/home-esr01a-elektromos-seregelyriaszto-alkonykapcsolos-5-15khz-frekvencia-elemes-esr01a-19036","https://www.somogyi.hu/product/home-esr01a-elektromos-seregelyriaszto-alkonykapcsolos-5-15khz-frekvencia-elemes-esr01a-19036")</f>
        <v>0.0</v>
      </c>
      <c r="E227" s="7" t="n">
        <f>HYPERLINK("https://www.somogyi.hu/data/img/product_main_images/small/19036.jpg","https://www.somogyi.hu/data/img/product_main_images/small/19036.jpg")</f>
        <v>0.0</v>
      </c>
      <c r="F227" s="2" t="inlineStr">
        <is>
          <t>5999888031648</t>
        </is>
      </c>
      <c r="G227" s="4" t="inlineStr">
        <is>
          <t>Szeretné megvédeni gyümölcsösét, szőlőskertjét a seregélyek okozta pusztítástól? A Home ESR01A elektromos seregélyriasztó tökéletes megoldás arra, hogy hatékonyan és kíméletesen távol tartsa ezeket a kártékony madarakat terményeitől. Az eszköz alkonykapcsolóval ellátott, így automatikusan csak nappal lép működésbe, amikor a seregélyek legaktívabbak.
Kiváló madárriasztó technológia a termés védelméért
Ez a riasztó különleges 5-15 kHz-es frekvencián működik, amely a seregélyek számára rendkívül zavaró, így elkerülik a készülék hatókörében lévő területeket. A riasztó 25-35 másodpercenként aktiválódik, és 3 másodpercig tartó, erős visító hangot bocsát ki, amely garantáltan távol tartja a kártevő madarakat, anélkül hogy a környezetre vagy az emberekre hatással lenne.
Alkonykapcsolós működés a maximális hatékonyság érdekében
A beépített alkonykapcsolónak köszönhetően a Home ESR01A seregélyriasztó csak nappal lép működésbe, amikor a madarak a legaktívabbak, így nem fogyaszt feleslegesen energiát éjszaka. Ez a funkció biztosítja, hogy a készülék automatikusan alkalmazkodjon a természetes fényviszonyokhoz, így Önnek nem kell manuálisan ki- és bekapcsolnia.
Egyszerű telepítés és hatékony védelem nagy területeken
A Home ESR01A riasztót rendkívül könnyű telepíteni és használni. Egy 9V-os elem biztosítja a készülék működését (nem tartozék), amely akár hónapokig is kitart. Az optimális hatás érdekében javasolt a riasztókat 50-60 méterenként elhelyezni, így nagyobb területek, például gyümölcsösök és szőlőskertek is hatékonyan védhetők a seregélyek inváziójától. A készülék kompakt mérete (ø3,7 x 16 cm) és könnyű súlya (mindössze 120 gramm) lehetővé teszi, hogy diszkréten és egyszerűen elhelyezze bárhol, ahol szükséges.
Környezetbarát és állatbarát megoldás
A Home ESR01A elektromos seregélyriasztó használatával elkerülheti a vegyszerek és csapdák alkalmazását, amelyek károsíthatják a környezetet. Ez a kíméletes technológia anélkül tartja távol a madarakat, hogy bármilyen kárt okozna nekik, így egyaránt ideális környezetbarátoknak és állatbarátoknak. A madarak pusztítása nélkül óvhatja meg a terményeit, miközben gondoskodik a természetes egyensúly fenntartásáról.
Miért válassza a Home ESR01A elektromos seregélyriasztót?
Ez az elektromos riasztó ideális választás mindazok számára, akik környezetbarát módon szeretnék megvédeni gyümölcseiket és terményeiket a seregélyektől. Az automatikus alkonykapcsolóval és egyszerű telepítéssel ez a készülék hatékonyan távol tartja a madarakat anélkül, hogy bárkinek is kényelmetlenséget okozna.
Ne hagyja, hogy a seregélyek elpusztítsák a termését! Szerezze be a Home ESR01A elektromos seregélyriasztót még ma, és biztosítsa kertje védelmét természetes módon!</t>
        </is>
      </c>
    </row>
    <row r="228">
      <c r="A228" s="3" t="inlineStr">
        <is>
          <t>VK 02</t>
        </is>
      </c>
      <c r="B228" s="2" t="inlineStr">
        <is>
          <t>Home VK 02 vakondriasztó karó, hangrezgés, 800 m2 hatókörzet, 400 - 1000 Hz, rágcsálók</t>
        </is>
      </c>
      <c r="C228" s="1" t="n">
        <v>2290.0</v>
      </c>
      <c r="D228" s="7" t="n">
        <f>HYPERLINK("https://www.somogyi.hu/product/home-vk-02-vakondriaszto-karo-hangrezges-800-m2-hatokorzet-400-1000-hz-ragcsalok-vk-02-17048","https://www.somogyi.hu/product/home-vk-02-vakondriaszto-karo-hangrezges-800-m2-hatokorzet-400-1000-hz-ragcsalok-vk-02-17048")</f>
        <v>0.0</v>
      </c>
      <c r="E228" s="7" t="n">
        <f>HYPERLINK("https://www.somogyi.hu/data/img/product_main_images/small/17048.jpg","https://www.somogyi.hu/data/img/product_main_images/small/17048.jpg")</f>
        <v>0.0</v>
      </c>
      <c r="F228" s="2" t="inlineStr">
        <is>
          <t>5999084950804</t>
        </is>
      </c>
      <c r="G228" s="4" t="inlineStr">
        <is>
          <t>VK 02 hangjelzése nem csupán elriasztja, hanem távol is tarja a kerti károkozókat (vakond, mezei pocok, földikutya). A készülék 50 mp-ként bocsájt ki rezgést. A jelzések embert és más állatot (kutya, macska) nem zavarnak. A talaj minőségétől függően akár 800 m2 -es terület védelmére alkalmas. A hatékonyabb működéshez célszerű 20 m-ként elhelyezni egy-egy készüléket úgy, hogy annak fekete szárából kb. 3 cm látszódjon ki. A tápellátást szolgáló 3 db LR20 (D) elemet (nem tartozék) a riasztó kupakjának letekerése után tudja a készülékben elhelyezni. Ügyeljen a kupak megfelelő rögzítésére, hogy ne folyhasson víz a készülék belsejébe!</t>
        </is>
      </c>
    </row>
    <row r="229">
      <c r="A229" s="3" t="inlineStr">
        <is>
          <t>VK03</t>
        </is>
      </c>
      <c r="B229" s="2" t="inlineStr">
        <is>
          <t>Home VK03 vakondriasztó karó, DualAttack, 1000 m2 védelem, akár fél éves üzemidő</t>
        </is>
      </c>
      <c r="C229" s="1" t="n">
        <v>7190.0</v>
      </c>
      <c r="D229" s="7" t="n">
        <f>HYPERLINK("https://www.somogyi.hu/product/home-vk03-vakondriaszto-karo-dualattack-1000-m2-vedelem-akar-fel-eves-uzemido-vk03-18446","https://www.somogyi.hu/product/home-vk03-vakondriaszto-karo-dualattack-1000-m2-vedelem-akar-fel-eves-uzemido-vk03-18446")</f>
        <v>0.0</v>
      </c>
      <c r="E229" s="7" t="n">
        <f>HYPERLINK("https://www.somogyi.hu/data/img/product_main_images/small/18446.jpg","https://www.somogyi.hu/data/img/product_main_images/small/18446.jpg")</f>
        <v>0.0</v>
      </c>
      <c r="F229" s="2" t="inlineStr">
        <is>
          <t>5999084964641</t>
        </is>
      </c>
      <c r="G229" s="4" t="inlineStr">
        <is>
          <t>Unja már, hogy a vakondok és más föld alatti rágcsálók tönkreteszik a kertjét? A Home VK03 vakondriasztó karó a megoldás, amely hatékony védelmet nyújt a nem kívánt vendégek ellen anélkül, hogy zavarná az állatokat vagy embereket.
Ez a készülék rezgéseket és hangjeleket (400 Hz – 2000 Hz) bocsát ki 30 másodpercenként a DualAttack technológiával, amely segít távol tartani a vakondokat, mezei pockokat és földikutya fajtákat. A rezgések és hangjelek nem zavarják az embereket, így zavartalan maradhat kerti tevékenysége. A készülék egy akár 1000 m²-es területet képes védeni, a talaj minőségétől függően.
Hosszú, akár féléves üzemidőt biztosít tartós alkáli elemekkel (4 x 1,5V LR20, D típusú elemekkel, amelyek nem tartozékok), így hosszú időn át élvezheti a nyugalmat. Védje meg kertjét a Home VK03 vakondriasztó karóval, és élvezze a zavartalan kertészeti munkát!</t>
        </is>
      </c>
    </row>
    <row r="230">
      <c r="A230" s="3" t="inlineStr">
        <is>
          <t>DOG 01</t>
        </is>
      </c>
      <c r="B230" s="2" t="inlineStr">
        <is>
          <t>Home DOG 01 hordozható kutyariasztó, 10 m hatótáv, 25 kHz frekvencia, LED jelzőfény</t>
        </is>
      </c>
      <c r="C230" s="1" t="n">
        <v>2790.0</v>
      </c>
      <c r="D230" s="7" t="n">
        <f>HYPERLINK("https://www.somogyi.hu/product/home-dog-01-hordozhato-kutyariaszto-10-m-hatotav-25-khz-frekvencia-led-jelzofeny-dog-01-17047","https://www.somogyi.hu/product/home-dog-01-hordozhato-kutyariaszto-10-m-hatotav-25-khz-frekvencia-led-jelzofeny-dog-01-17047")</f>
        <v>0.0</v>
      </c>
      <c r="E230" s="7" t="n">
        <f>HYPERLINK("https://www.somogyi.hu/data/img/product_main_images/small/17047.jpg","https://www.somogyi.hu/data/img/product_main_images/small/17047.jpg")</f>
        <v>0.0</v>
      </c>
      <c r="F230" s="2" t="inlineStr">
        <is>
          <t>5999084950798</t>
        </is>
      </c>
      <c r="G230" s="4" t="inlineStr">
        <is>
          <t>A hordozható kutyariasztó hangjelzéssel riasztja el és tartja távol a kutyákat, mely 25 kHz –es frekvencián működik és a hangja az emberi fül számára teljesen hallhatatlan.
A működését LED fény jelzi és a hatótávolsága 10 méter és a tartozékul szolgáló csuklópánttal könnyedén rögzíthetjük.
Ajánlatos a használata séták alkalmával kutyatámadások elkerülésére, postások és személyes átvételű csomagkiszállítók, díjbeszedők, mérőóra leolvasók egészségmegőrzése céljából.</t>
        </is>
      </c>
    </row>
    <row r="231">
      <c r="A231" s="3" t="inlineStr">
        <is>
          <t>EPR01</t>
        </is>
      </c>
      <c r="B231" s="2" t="inlineStr">
        <is>
          <t>Home EPR01 elektromos patkány és nyest riasztó, hangos riasztás, 5-15KHz frekvencia</t>
        </is>
      </c>
      <c r="C231" s="1" t="n">
        <v>8490.0</v>
      </c>
      <c r="D231" s="7" t="n">
        <f>HYPERLINK("https://www.somogyi.hu/product/home-epr01-elektromos-patkany-es-nyest-riaszto-hangos-riasztas-5-15khz-frekvencia-epr01-19035","https://www.somogyi.hu/product/home-epr01-elektromos-patkany-es-nyest-riaszto-hangos-riasztas-5-15khz-frekvencia-epr01-19035")</f>
        <v>0.0</v>
      </c>
      <c r="E231" s="7" t="n">
        <f>HYPERLINK("https://www.somogyi.hu/data/img/product_main_images/small/19035.jpg","https://www.somogyi.hu/data/img/product_main_images/small/19035.jpg")</f>
        <v>0.0</v>
      </c>
      <c r="F231" s="2" t="inlineStr">
        <is>
          <t>5999888031617</t>
        </is>
      </c>
      <c r="G231" s="4" t="inlineStr">
        <is>
          <t>Elege van abból, hogy a patkányok, nyestek és más kártevők folyamatosan károkat okoznak otthonában vagy garázsában? A Home EPR01 elektromos patkány- és nyestriasztó segítségével hatékonyan távol tarthatja ezeket a kártevőket mérgek és csapdák nélkül, kíméletes és környezetbarát megoldást kínálva. 
Ez a riasztó egy speciális, visító hangot bocsát ki 5-15 kHz frekvencián, amely rendkívül kellemetlen a kártevők számára, így gyorsan és tartósan elhagyják a megfigyelt területet.
Hatékony és biztonságos működés
A Home EPR01 elektromos riasztó különlegessége a kártevők számára zavaró frekvencia. A készülék hangereje és frekvenciája váltakozik, ezzel biztosítva, hogy a kártevők ne szokjanak hozzá a hanghoz. A riasztó 40-80 másodpercenként aktiválódik, és 3 másodpercig bocsát ki hangos, visító hangot, amely hatékonyan távol tartja a nemkívánatos állatokat.
Egyszerű telepítés és hordozhatóság
A riasztó telepítése rendkívül egyszerű és gyors. Csak egy 9V-os elemre van szüksége (nem tartozék), amely akár több hónapig is biztosítja a készülék zavartalan működését. A kompakt méret (ø3,7 x 16 cm) és a mindössze 120 grammos tömeg lehetővé teszi, hogy bárhol könnyedén elhelyezze: a padláson, a garázsban, a kamrában vagy akár a gépjárművek motorházteteje alatt is, ahol a nyestek gyakran okoznak károkat.
Környezetbarát és állatbarát megoldás
Mérgek és veszélyes csapdák használata nélkül is hatékonyan távol tarthatja a kártevőket. Az technológia nem okoz sérülést az állatoknak, hanem kellemetlen környezetet teremt számukra, így önként elhagyják a területet. Ezáltal a Home EPR01 riasztó nemcsak hatékony, hanem humánus és biztonságos megoldás is otthonok, nyaralók és ipari létesítmények számára egyaránt.
Miért válassza a Home EPR01 elektromos patkány- és nyestriasztót?
Ez a készülék ideális választás minden olyan háztartás vagy vállalkozás számára, amely biztonságosan és hatékonyan szeretné megvédeni értékeit a kártevők okozta károktól. Könnyen használható, hordozható és környezetbarát megoldás, amely mérgek és kemikáliák nélkül tartja távol a nem kívánt állatokat.</t>
        </is>
      </c>
    </row>
    <row r="232">
      <c r="A232" s="3" t="inlineStr">
        <is>
          <t>ESR01</t>
        </is>
      </c>
      <c r="B232" s="2" t="inlineStr">
        <is>
          <t>Home ESR01 elektromos seregélyriasztó, 5-15KHz frekvencia, elemes</t>
        </is>
      </c>
      <c r="C232" s="1" t="n">
        <v>8490.0</v>
      </c>
      <c r="D232" s="7" t="n">
        <f>HYPERLINK("https://www.somogyi.hu/product/home-esr01-elektromos-seregelyriaszto-5-15khz-frekvencia-elemes-esr01-19037","https://www.somogyi.hu/product/home-esr01-elektromos-seregelyriaszto-5-15khz-frekvencia-elemes-esr01-19037")</f>
        <v>0.0</v>
      </c>
      <c r="E232" s="7" t="n">
        <f>HYPERLINK("https://www.somogyi.hu/data/img/product_main_images/small/19037.jpg","https://www.somogyi.hu/data/img/product_main_images/small/19037.jpg")</f>
        <v>0.0</v>
      </c>
      <c r="F232" s="2" t="inlineStr">
        <is>
          <t>5999888031624</t>
        </is>
      </c>
      <c r="G232" s="4" t="inlineStr">
        <is>
          <t>Szeretné megvédeni gyümölcsösét, szőlőskertjét a seregélyek okozta pusztítástól? A Home ESR01 elektromos seregélyriasztó tökéletes megoldás arra, hogy hatékonyan és kíméletesen távol tartsa ezeket a kártékony madarakat terményeitől.
Kiváló madárriasztó technológia a termés védelméért
Ez a riasztó különleges 5-15 kHz-es frekvencián működik, amely a seregélyek számára rendkívül zavaró, így elkerülik a készülék hatókörében lévő területeket. A riasztó 25-35 másodpercenként aktiválódik, és 3 másodpercig tartó, erős visító hangot bocsát ki, amely garantáltan távol tartja a kártevő madarakat.
Egyszerű telepítés és hatékony védelem nagy területeken
A Home ESR01 riasztót rendkívül könnyű telepíteni és használni. Egy 9V-os elem biztosítja a készülék működését (nem tartozék), amely akár hónapokig is kitart. Az optimális hatás érdekében javasolt a riasztókat 50-60 méterenként elhelyezni, így nagyobb területek, például gyümölcsösök és szőlőskertek is hatékonyan védhetők a seregélyek inváziójától. A készülék kompakt mérete (ø3,7 x 16 cm) és könnyű súlya (mindössze 120 gramm) lehetővé teszi, hogy diszkréten és egyszerűen elhelyezze bárhol, ahol szükséges.
Környezetbarát és állatbarát megoldás
A Home ESR01 elektromos seregélyriasztó használatával elkerülheti a vegyszerek és csapdák alkalmazását, amelyek károsíthatják a környezetet. Ez a kíméletes technológia anélkül tartja távol a madarakat, hogy bármilyen kárt okozna nekik, így egyaránt ideális környezetbarátoknak és állatbarátoknak. A madarak pusztítása nélkül óvhatja meg a terményeit, miközben gondoskodik a természetes egyensúly fenntartásáról.
Miért válassza a Home ESR01 elektromos seregélyriasztót?
Ez az elektromos riasztó ideális választás mindazok számára, akik környezetbarát módon szeretnék megvédeni gyümölcseiket és terményeiket a seregélyektől. Az egyszerűen telepíthető készülék hatékonyan távol tartja a madarakat anélkül, hogy bárkinek is kényelmetlenséget okozna.
Ne hagyja, hogy a seregélyek elpusztítsák a termését! Szerezze be a Home ESR01 elektromos seregélyriasztót még ma, és biztosítsa kertje védelmét természetes módon!</t>
        </is>
      </c>
    </row>
    <row r="233">
      <c r="A233" s="3" t="inlineStr">
        <is>
          <t>IN 22425</t>
        </is>
      </c>
      <c r="B233" s="2" t="inlineStr">
        <is>
          <t>Légypapír</t>
        </is>
      </c>
      <c r="C233" s="1" t="n">
        <v>879.0</v>
      </c>
      <c r="D233" s="7" t="n">
        <f>HYPERLINK("https://www.somogyi.hu/product/legypapir-in-22425-16903","https://www.somogyi.hu/product/legypapir-in-22425-16903")</f>
        <v>0.0</v>
      </c>
      <c r="E233" s="7" t="n">
        <f>HYPERLINK("https://www.somogyi.hu/data/img/product_main_images/small/16903.jpg","https://www.somogyi.hu/data/img/product_main_images/small/16903.jpg")</f>
        <v>0.0</v>
      </c>
      <c r="F233" s="2" t="inlineStr">
        <is>
          <t>7350007336903</t>
        </is>
      </c>
      <c r="G233" s="4" t="inlineStr">
        <is>
          <t>A Silverline IN 22425 Légypapír a kellemetlen legyek és repülő rovarok elkapására alkalmas. A legyek számára csalogató illatú ragasztóanyaggal ellátott a papír, így könnyedén beleragadnak. A termék írtószert nem tartalmaz.
A csomag 4 db légypapírt tartalmaz.</t>
        </is>
      </c>
    </row>
    <row r="234">
      <c r="A234" s="3" t="inlineStr">
        <is>
          <t>VK 01</t>
        </is>
      </c>
      <c r="B234" s="2" t="inlineStr">
        <is>
          <t>Home VK 01 vakondriasztó karó, hangrezgés, 2000 m2 hatókörzet, alacsony fogyasztás, rágcsálók</t>
        </is>
      </c>
      <c r="C234" s="1" t="n">
        <v>7490.0</v>
      </c>
      <c r="D234" s="7" t="n">
        <f>HYPERLINK("https://www.somogyi.hu/product/home-vk-01-vakondriaszto-karo-hangrezges-2000-m2-hatokorzet-alacsony-fogyasztas-ragcsalok-vk-01-7649","https://www.somogyi.hu/product/home-vk-01-vakondriaszto-karo-hangrezges-2000-m2-hatokorzet-alacsony-fogyasztas-ragcsalok-vk-01-7649")</f>
        <v>0.0</v>
      </c>
      <c r="E234" s="7" t="n">
        <f>HYPERLINK("https://www.somogyi.hu/data/img/product_main_images/small/07649.jpg","https://www.somogyi.hu/data/img/product_main_images/small/07649.jpg")</f>
        <v>0.0</v>
      </c>
      <c r="F234" s="2" t="inlineStr">
        <is>
          <t>5998177309574</t>
        </is>
      </c>
      <c r="G234" s="4" t="inlineStr">
        <is>
          <t>Nagyméretű földtulajdonnal rendelkezik, és ennek gondozása során rendkívül fontos, hogy a növényzetben ne essen semmiféle kár? Ez esetben Önnek a VK 01-es vakondriasztó karóra lesz szüksége! A vakondriasztó az előnyös szerkezeti tulajdonságának köszönhetően olyan hangrezgéseket bocsájt ki, amelyek garantáltan elriasztják a termésre káros rágcsálókat! (Ilyenek pl. a vakondok, mezei pockok vagy földikutyák.) A VK 01 típus további előnye, hogy az adott talaj minőségétől függően akár 2000 m²-es terület védelmére is alkalmas. Egy garnitúra  elemmel pedig akár 3-4 hónapot is képes működni. Ha Ön mielőbb megszeretne szabadulni a talajban és növényzetben egyaránt károkat okozó rágcsálóktól, akkor ne habozzon és rendelje meg webáruházunkból a vakondriasztó karót!</t>
        </is>
      </c>
    </row>
    <row r="235">
      <c r="A235" s="3" t="inlineStr">
        <is>
          <t>IN 25352</t>
        </is>
      </c>
      <c r="B235" s="2" t="inlineStr">
        <is>
          <t>Silverline IN 25352 elektromos nyestriasztó, 50 m2 hatókörzet, ultrahang, beltéri</t>
        </is>
      </c>
      <c r="C235" s="1" t="n">
        <v>26190.0</v>
      </c>
      <c r="D235" s="7" t="n">
        <f>HYPERLINK("https://www.somogyi.hu/product/silverline-in-25352-elektromos-nyestriaszto-50-m2-hatokorzet-ultrahang-belteri-in-25352-16872","https://www.somogyi.hu/product/silverline-in-25352-elektromos-nyestriaszto-50-m2-hatokorzet-ultrahang-belteri-in-25352-16872")</f>
        <v>0.0</v>
      </c>
      <c r="E235" s="7" t="n">
        <f>HYPERLINK("https://www.somogyi.hu/data/img/product_main_images/small/16872.jpg","https://www.somogyi.hu/data/img/product_main_images/small/16872.jpg")</f>
        <v>0.0</v>
      </c>
      <c r="F235" s="2" t="inlineStr">
        <is>
          <t>7350007336705</t>
        </is>
      </c>
      <c r="G235" s="4" t="inlineStr">
        <is>
          <t>A minőségi, megbízható svéd Silverline IN 25352 Elemes nyestriasztó ultrahangos jelkibocsájtással képes beltéren elriasztani a nyesteket akár 50 m2 hatótávolságon belül. 
Környezetbarát kivitelben, méreg felhasználása nélkül működik, így a gyerekekre, háziállatokra ártalmatlan. 
Tápellátásához 3 db 1,5 V (LR 14) elem szükséges. 
Használja a környezetbarát nyestriasztó készüléket, megkímélve magát a nyest okozta károktól, valamint az autó kábelek védelme érdekében.</t>
        </is>
      </c>
    </row>
    <row r="236">
      <c r="A236" s="3" t="inlineStr">
        <is>
          <t>EVR01A</t>
        </is>
      </c>
      <c r="B236" s="2" t="inlineStr">
        <is>
          <t>Home EVR01A elektromos vadriasztó, alkonykapcsolós, 5-15KHz, 1,5-2perc/3mp megszólalási gyakoriság</t>
        </is>
      </c>
      <c r="C236" s="1" t="n">
        <v>9990.0</v>
      </c>
      <c r="D236" s="7" t="n">
        <f>HYPERLINK("https://www.somogyi.hu/product/home-evr01a-elektromos-vadriaszto-alkonykapcsolos-5-15khz-1-5-2perc-3mp-megszolalasi-gyakorisag-evr01a-19039","https://www.somogyi.hu/product/home-evr01a-elektromos-vadriaszto-alkonykapcsolos-5-15khz-1-5-2perc-3mp-megszolalasi-gyakorisag-evr01a-19039")</f>
        <v>0.0</v>
      </c>
      <c r="E236" s="7" t="n">
        <f>HYPERLINK("https://www.somogyi.hu/data/img/product_main_images/small/19039.jpg","https://www.somogyi.hu/data/img/product_main_images/small/19039.jpg")</f>
        <v>0.0</v>
      </c>
      <c r="F236" s="2" t="inlineStr">
        <is>
          <t>5999888031662</t>
        </is>
      </c>
      <c r="G236" s="4" t="inlineStr">
        <is>
          <t>Szeretné végre hatékonyan megóvni terményeit a vadállatok okozta károktól? A Home EVR01A elektromos vadriasztó tökéletes választás, hogy megvédje földjeit a kártékony vaddisznóktól, szarvasoktól, őzektől és vadnyulaktól. A riasztó egyedi, visító hanggal működik, amely hatékonyan távol tartja a vadakat anélkül, hogy ártana nekik vagy megzavarná az embereket. Különleges alkonykapcsolóval ellátva csak sötétedés után lép működésbe, amikor a vadállatok a legaktívabbak.
Intelligens védelem vadak ellen - csak amikor szükség van rá
A Home EVR01A vadriasztó egyik legnagyobb előnye a beépített alkonykapcsoló, amely biztosítja, hogy a készülék csak akkor aktiválódjon, amikor valóban szükség van rá: sötétedés után. Így energiatakarékosan működik, és nappal nem zavarja a területet. A riasztó 5-15 kHz-es ultrahangos frekvencián bocsát ki hangot, amely rendkívül zavaró a vadállatok számára, de teljesen hallhatatlan az emberi fül számára.
Váltakozó megszólalás, hogy a vadállatok ne szokjanak hozzá
A riasztó 1,5-2 percenként aktiválódik, és 3 másodpercig tartó, erős, visító hangot bocsát ki, amely hatékonyan elriasztja a vadállatokat. Ez a váltakozó ritmus biztosítja, hogy a vadak ne szokjanak hozzá a hanghoz, így folyamatosan távol maradnak a területtől. Az alkalmazott frekvencia a vadállatok számára kényelmetlen, de semmilyen kárt nem okoz nekik, így humánus és környezetbarát módon tarthatja távol őket.
Nagy terület lefedése könnyedén
A Home EVR01A vadriasztó ideális nagy területek védelmére. A hatékony működés érdekében javasolt a riasztót 80-100 méterenként elhelyezni, így akár egy nagy szántóföldet, gyümölcsöst vagy más mezőgazdasági területet is lefedhet a készülékkel. A riasztó kompakt mérete (ø3,7 x 16 cm) lehetővé teszi, hogy könnyedén elhelyezze bárhol, ahol szükség van rá, míg mindössze 120 grammos súlya révén szinte bárhová magával viheti és telepítheti.
Egyszerű üzembe helyezés és hosszú élettartam
A készülék működéséhez csak egy 9V-os elemre van szükség (nem tartozék), amely hosszú hónapokon keresztül biztosítja a riasztó zavartalan működését. A telepítés egyszerű: helyezze el a megfelelő távolságban a területen, és kapcsolja be. Az alkonykapcsoló miatt nem kell aggódnia a napi ki- és bekapcsolás miatt, a készülék automatikusan szabályozza a működést.
Környezetbarát és humánus megoldás
A Home EVR01A elektromos vadriasztó kiváló választás mindazok számára, akik hatékony, mégis kíméletes módon szeretnék megvédeni terményeiket. A riasztó elkerüli a mérgező vegyszerek vagy csapdák használatát, és a vadállatokat sérülés nélkül távolítja el. A természetbarát megoldás nem zavarja a környezetet, miközben megvédi Önt a jelentős anyagi károktól.
Miért válassza a Home EVR01A elektromos vadriasztót?
Ez az ultrahangos vadriasztó ideális választás mindazok számára, akik hatékonyan szeretnék megóvni terményeiket a vadállatok okozta károktól, anélkül, hogy mérgező vegyszerekhez vagy káros csapdákhoz kellene folyamodniuk. Az automatikus alkonykapcsoló, az egyszerű telepítés és a nagy terület lefedésére alkalmas működés teszi a Home EVR01A vadriasztót a legjobb megoldássá a szántóföldek és gyümölcsösök védelmére.
Ne várjon tovább, védje meg terményeit most! Szerezze be a Home EVR01A elektromos vadriasztót még ma, és élvezze a nyugalmat, hogy terményei biztonságban vannak!</t>
        </is>
      </c>
    </row>
    <row r="237">
      <c r="A237" s="3" t="inlineStr">
        <is>
          <t>EVR01</t>
        </is>
      </c>
      <c r="B237" s="2" t="inlineStr">
        <is>
          <t>Home EVR01 elektromos vadriasztó, 5-15KHz, 1,5-2perc/3mp megszólalási gyakoriság</t>
        </is>
      </c>
      <c r="C237" s="1" t="n">
        <v>8490.0</v>
      </c>
      <c r="D237" s="7" t="n">
        <f>HYPERLINK("https://www.somogyi.hu/product/home-evr01-elektromos-vadriaszto-5-15khz-1-5-2perc-3mp-megszolalasi-gyakorisag-evr01-19038","https://www.somogyi.hu/product/home-evr01-elektromos-vadriaszto-5-15khz-1-5-2perc-3mp-megszolalasi-gyakorisag-evr01-19038")</f>
        <v>0.0</v>
      </c>
      <c r="E237" s="7" t="n">
        <f>HYPERLINK("https://www.somogyi.hu/data/img/product_main_images/small/19038.jpg","https://www.somogyi.hu/data/img/product_main_images/small/19038.jpg")</f>
        <v>0.0</v>
      </c>
      <c r="F237" s="2" t="inlineStr">
        <is>
          <t>5999888031655</t>
        </is>
      </c>
      <c r="G237" s="4" t="inlineStr">
        <is>
          <t>Elege van abból, hogy a vadállatok rendszeresen károkat okoznak szántóföldjén, gyümölcsösében? A Home EVR01 elektromos vadriasztó segítségével hatékonyan és kíméletesen tarthatja távol a vaddisznókat, szarvasokat, őzeket és vadnyulakat termőföldjéről vagy kertjéből. Ez a készülék speciális visító hangot bocsát ki, amely elrettenti a vadállatokat, anélkül hogy kárt tennének a növényekben vagy a környezetben.
Kiváló teljesítmény vadállatok ellen
A Home EVR01 elektromos vadriasztó 5-15 kHz frekvencián működik, ami rendkívül zavaró a vadak számára, így elkerülik a megvédett területet. A készülék 1,5-2 percenként aktiválódik, és 3 másodpercig bocsát ki erős, visító hangot, amely hatékonyan távol tartja a vadakat.
Hatékony védelem nagy területeken
A vadriasztó optimális védelmet nyújt nagyobb földterületeken is. Az ideális hatás érdekében javasolt a készülékeket 80-100 méterenként elhelyezni, így hatékonyan lefedheti szántóföldjét, gyümölcsösét vagy bármely más területet, amelyet védeni szeretne a vadállatoktól. A készülék kompakt mérete (ø3,7 x 16 cm) lehetővé teszi, hogy könnyedén elhelyezze a kívánt helyen, miközben mindössze 120 gramm súlyával szinte bárhol elfér.
Egyszerű telepítés és hosszú élettartam
A Home EVR01 riasztó használata rendkívül egyszerű. A működéshez egy 9V-os elem szükséges (nem tartozék), amely hosszú üzemidőt biztosít. A hordozható és könnyen telepíthető riasztó azonnal üzembe helyezhető, így nem kell szakember segítségére várnia. Akár több hónapig is hatékonyan működik egyetlen elem használatával, így hosszú távon is gazdaságos megoldást kínál.
Környezetbarát és kíméletes megoldás
A Home EVR01 elektromos vadriasztó használatával elkerülheti a veszélyes vegyszerek, mérgek vagy csapdák használatát, amelyek károsak lehetnek a környezetre és az állatvilágra. A készülék humanitárius megoldást kínál: a vadállatok sérülés nélkül elhagyják a területet, mivel a technológia csak kellemetlenséget okoz számukra, de nem ártalmas. Így Ön biztonságosan védheti meg terményeit anélkül, hogy beavatkozna a természetes élővilágba.
Miért válassza a Home EVR01 elektromos vadriasztót?
A Home EVR01 ideális választás minden gazdálkodó és kertész számára, akik hatékonyan szeretnék megvédeni terményeiket a vadállatok okozta károktól. Környezetbarát, kíméletes és hosszú távon is gazdaságos megoldás, amely biztosítja, hogy a vadak távol maradjanak a megfigyelt területtől.
Ne hagyja, hogy a vadállatok tönkretegyék munkáját! Szerezze be a Home EVR01 elektromos vadriasztót, és élvezze terményei zavartalan növekedését!</t>
        </is>
      </c>
    </row>
    <row r="238">
      <c r="A238" s="3" t="inlineStr">
        <is>
          <t>EGR01</t>
        </is>
      </c>
      <c r="B238" s="2" t="inlineStr">
        <is>
          <t>Home EGR01 elektromos galambriasztó, 5-15/0,03KHz, 0,5-1perc/3mp megszólalási gyakoriság</t>
        </is>
      </c>
      <c r="C238" s="1" t="n">
        <v>8490.0</v>
      </c>
      <c r="D238" s="7" t="n">
        <f>HYPERLINK("https://www.somogyi.hu/product/home-egr01-elektromos-galambriaszto-5-15-0-03khz-0-5-1perc-3mp-megszolalasi-gyakorisag-egr01-19040","https://www.somogyi.hu/product/home-egr01-elektromos-galambriaszto-5-15-0-03khz-0-5-1perc-3mp-megszolalasi-gyakorisag-egr01-19040")</f>
        <v>0.0</v>
      </c>
      <c r="E238" s="7" t="n">
        <f>HYPERLINK("https://www.somogyi.hu/data/img/product_main_images/small/19040.jpg","https://www.somogyi.hu/data/img/product_main_images/small/19040.jpg")</f>
        <v>0.0</v>
      </c>
      <c r="F238" s="2" t="inlineStr">
        <is>
          <t>5999888031679</t>
        </is>
      </c>
      <c r="G238" s="4" t="inlineStr">
        <is>
          <t>Szeretné megszabadítani lakókörnyezetét a galambok okozta problémáktól, anélkül, hogy káros módszerekhez kellene folyamodnia? A Home EGR01 elektromos galambriasztó egy hatékony, környezetbarát megoldás, amely távol tartja a a galambokat, különösen a gyakran problémát okozó parlagi galambokat. Ez a készülék speciális visító hanggal működik, amely a madarak számára elviselhetetlen, de az emberekre nincs hatással, így észrevétlenül biztosítja a környezet tisztaságát és rendjét.
A Home EGR01 galambriasztó 5-15 kHz frekvencián működik, amely kifejezetten a madarak számára kellemetlen. Ez a riasztás biztosítja, hogy a galambok ne szokjanak hozzá a hanghoz, és elkerüljék azt a területet, ahol a készülék el van helyezve. A készülék 30-60 másodpercenként aktiválódik, és 3 másodpercig bocsát ki éles, visító hangot, amely hatékonyan elriasztja a galambokat.
Egyszerű telepítés és rugalmas elhelyezhetőség
A galambriasztó használata rendkívül egyszerű: egy 9V-os elem (nem tartozék) biztosítja a működését, így a telepítéshez nincs szükség bonyolult kábelezésre. A készülék kompakt méretének (ø3,7 x 16 cm) köszönhetően könnyedén elhelyezhető bármely problémás területen, legyen szó erkélyekről, padlásokról, tetőterekről vagy udvarokról. Mindössze 120 grammos súlyával szinte bárhol rögzíthető, így kiválóan alkalmazható akár városi, akár vidéki környezetben.
Hatékony védelem nagyobb területeken is
A Home EGR01 elektromos galambriasztó ideális választás olyan helyeken, ahol a galambok hosszú távon komoly problémát okozhatnak. A készülék javasolt elhelyezési gyakorisága 20-40 méterenként van, így nagyobb területek, mint például belső udvarok, közösségi terek, ipari létesítmények vagy lakóparkok is hatékonyan védhetők a galambok okozta kártétel ellen. Több készülék együttes használatával biztosíthatja, hogy teljesen lefedje a területet, és megszabaduljon a madarak okozta kellemetlenségektől.
Környezetbarát megoldás a madárproblémákra
A Home EGR01 galambriasztó használatával nincs szükség vegyszerekre, mérgekre vagy madárcsapdákra, amelyek nemcsak a madarakra, de az emberekre és háziállatokra is veszélyesek lehetnek. A galambriasztó technológiája kíméletesen tartja távol a madarakat, anélkül hogy sérülést okozna nekik. Ez a készülék humánus és környezetbarát módon biztosítja a galambmentes lakókörnyezetet, megőrizve a természetes egyensúlyt.
Miért válassza a Home EGR01 elektromos galambriasztót?
Ez a készülék tökéletes választás mindazok számára, akik környezetbarát módon szeretnék megoldani a galambproblémákat. A technológia hatékony, mégis kíméletes megoldást kínál, miközben hosszú távon biztosítja a galambok távoltartását anélkül, hogy bármilyen kárt okozna nekik vagy a környezetnek.
Ne hagyja, hogy a galambok tovább szennyezzék lakókörnyezetét! Szerezze be a Home EGR01 elektromos galambriasztót, és élvezze a tiszta, galambmentes otthont még ma!</t>
        </is>
      </c>
    </row>
    <row r="239">
      <c r="A239" s="3" t="inlineStr">
        <is>
          <t>IN 25342</t>
        </is>
      </c>
      <c r="B239" s="2" t="inlineStr">
        <is>
          <t>Silverline IN 25342 elektromos pókriasztó, 30 m2 hatókörzet, kettős frekvenciájú ultrahang, beltéri, konnektoros</t>
        </is>
      </c>
      <c r="C239" s="1" t="n">
        <v>11790.0</v>
      </c>
      <c r="D239" s="7" t="n">
        <f>HYPERLINK("https://www.somogyi.hu/product/silverline-in-25342-elektromos-pokriaszto-30-m2-hatokorzet-kettos-frekvenciaju-ultrahang-belteri-konnektoros-in-25342-16873","https://www.somogyi.hu/product/silverline-in-25342-elektromos-pokriaszto-30-m2-hatokorzet-kettos-frekvenciaju-ultrahang-belteri-konnektoros-in-25342-16873")</f>
        <v>0.0</v>
      </c>
      <c r="E239" s="7" t="n">
        <f>HYPERLINK("https://www.somogyi.hu/data/img/product_main_images/small/16873.jpg","https://www.somogyi.hu/data/img/product_main_images/small/16873.jpg")</f>
        <v>0.0</v>
      </c>
      <c r="F239" s="2" t="inlineStr">
        <is>
          <t>7350007336712</t>
        </is>
      </c>
      <c r="G239" s="4" t="inlineStr">
        <is>
          <t>A minőségi, megbízható svéd Silverline IN 25342 Pókriasztó váltakozó kettős frekvenciájú ultrahangos jelkibocsájtás segítségével riasztja el a pókokat 30 m2 hatótávolságban beltéren.  
Környezetbarát kivitelben, méreg felhasználása nélkül működik, így a gyerekekre, háziállatokra ártalmatlan. 
Tápellátása 230 V.</t>
        </is>
      </c>
    </row>
    <row r="240">
      <c r="A240" s="3" t="inlineStr">
        <is>
          <t>IN 25304</t>
        </is>
      </c>
      <c r="B240" s="2" t="inlineStr">
        <is>
          <t>Silverline IN 25304 elektromos egér- és patkányriasztó, 30 m2 hatókörzet / egység, ultrahang, beltéri, konnektoros, 2 db</t>
        </is>
      </c>
      <c r="C240" s="1" t="n">
        <v>17790.0</v>
      </c>
      <c r="D240" s="7" t="n">
        <f>HYPERLINK("https://www.somogyi.hu/product/silverline-in-25304-elektromos-eger-es-patkanyriaszto-30-m2-hatokorzet-egyseg-ultrahang-belteri-konnektoros-2-db-in-25304-16866","https://www.somogyi.hu/product/silverline-in-25304-elektromos-eger-es-patkanyriaszto-30-m2-hatokorzet-egyseg-ultrahang-belteri-konnektoros-2-db-in-25304-16866")</f>
        <v>0.0</v>
      </c>
      <c r="E240" s="7" t="n">
        <f>HYPERLINK("https://www.somogyi.hu/data/img/product_main_images/small/16866.jpg","https://www.somogyi.hu/data/img/product_main_images/small/16866.jpg")</f>
        <v>0.0</v>
      </c>
      <c r="F240" s="2" t="inlineStr">
        <is>
          <t>7350007336590</t>
        </is>
      </c>
      <c r="G240" s="4" t="inlineStr">
        <is>
          <t>A minőségi, megbízható svéd Silverline IN 25304 Elektromos egér- és patkányriasztó ultrahangos jelkibocsájtással képes beltéren elriasztani a rágcsálókat akár 30 m2 hatótávolságon belül készülékenként. A csomagolás 2 db terméket tartalmaz. 
Környezetbarát kivitelben, méreg felhasználása nélkül működik, így a gyerekekre, háziállatokra ártalmatlan. 
Tápellátása 230 V. 
Használja a környezetbarát elektromos egér- és patkányriasztót a rágcsálók elriasztására.</t>
        </is>
      </c>
    </row>
    <row r="241">
      <c r="A241" s="3" t="inlineStr">
        <is>
          <t>UH13</t>
        </is>
      </c>
      <c r="B241" s="2" t="inlineStr">
        <is>
          <t>Home UH13 ultrahangos rágcsálóriasztó, változó frekvencia, 24 órás vagy csak éjszakai üzemmódok, tesztgomb, 3 lépéses riasztási gyakoriság</t>
        </is>
      </c>
      <c r="C241" s="1" t="n">
        <v>9890.0</v>
      </c>
      <c r="D241" s="7" t="n">
        <f>HYPERLINK("https://www.somogyi.hu/product/home-uh13-ultrahangos-ragcsaloriaszto-valtozo-frekvencia-24-oras-vagy-csak-ejszakai-uzemmodok-tesztgomb-3-lepeses-riasztasi-gyakorisag-uh13-18449","https://www.somogyi.hu/product/home-uh13-ultrahangos-ragcsaloriaszto-valtozo-frekvencia-24-oras-vagy-csak-ejszakai-uzemmodok-tesztgomb-3-lepeses-riasztasi-gyakorisag-uh13-18449")</f>
        <v>0.0</v>
      </c>
      <c r="E241" s="7" t="n">
        <f>HYPERLINK("https://www.somogyi.hu/data/img/product_main_images/small/18449.jpg","https://www.somogyi.hu/data/img/product_main_images/small/18449.jpg")</f>
        <v>0.0</v>
      </c>
      <c r="F241" s="2" t="inlineStr">
        <is>
          <t>5999084964672</t>
        </is>
      </c>
      <c r="G241" s="4" t="inlineStr">
        <is>
          <t>Önnek is gondot okoznak az otthonában garázdálkodó rágcsálók? A Home UH13 ultrahangos rágcsálóriasztó hatékony megoldást nyújt egerek, patkányok és nyestek távoltartására egyetlen helyiségben, megóvva otthonát a nem kívánt vendégektől.
Ez az eszköz folyamatosan változó ultrahang frekvenciával működik, mely zavarja a rágcsálók érzékszerveit, hatékonyan elriasztva őket. Rendelkezik választható 24 órás vagy csak éjszakai üzemmóddal, és három lépésben állítható riasztási gyakorisággal, így testre szabhatja a riasztás intenzitását. A tesztgomb segítségével ellenőrizheti a készülék működését bármikor.
A Home UH13 rágcsálóriasztó elemről vagy a tartozék USB hálózati adapterről is üzemeltethető, így flexibilis megoldást kínál. A készülék padlóra helyezhető vagy falra akasztható, így könnyen illeszkedik bármely helyiségbe. Tegye biztonságossá otthonát ezzel a hatékony és diszkrét megoldással!</t>
        </is>
      </c>
    </row>
    <row r="242">
      <c r="A242" s="3" t="inlineStr">
        <is>
          <t>AR02</t>
        </is>
      </c>
      <c r="B242" s="2" t="inlineStr">
        <is>
          <t>Home AR02 állatriasztó karó, napelemes, 13.5 - 23.5 kHz, PIR mozgásérzékelő 5 - 8 m távolság, USB töltőkábel</t>
        </is>
      </c>
      <c r="C242" s="1" t="n">
        <v>12390.0</v>
      </c>
      <c r="D242" s="7" t="n">
        <f>HYPERLINK("https://www.somogyi.hu/product/home-ar02-allatriaszto-karo-napelemes-13-5-23-5-khz-pir-mozgaserzekelo-5-8-m-tavolsag-usb-toltokabel-ar02-18445","https://www.somogyi.hu/product/home-ar02-allatriaszto-karo-napelemes-13-5-23-5-khz-pir-mozgaserzekelo-5-8-m-tavolsag-usb-toltokabel-ar02-18445")</f>
        <v>0.0</v>
      </c>
      <c r="E242" s="7" t="n">
        <f>HYPERLINK("https://www.somogyi.hu/data/img/product_main_images/small/18445.jpg","https://www.somogyi.hu/data/img/product_main_images/small/18445.jpg")</f>
        <v>0.0</v>
      </c>
      <c r="F242" s="2" t="inlineStr">
        <is>
          <t>5999084964634</t>
        </is>
      </c>
      <c r="G242" s="4" t="inlineStr">
        <is>
          <t>Egy hatékony megoldást keres, hogy távol tartsa a nem kívánt állatokat a kertjéből? A Home AR02 állatriasztó karó éppen erre szolgál, hiszen hatékonyan riasztja a kisebb rágcsálókat, nagyobb állatokat, sőt, a madarakat is.
Ez az eszköz széles frekvenciatartományban (13,5 kHz – 23,5 kHz) működik, amely lehetővé teszi, hogy pontosan beállíthassa a kívánt állatfaj elleni védelmet. Rendelkezik PIR mozgásérzékelővel, amely akár 8 méteres távolságból is érzékeli a mozgást, így az állatriasztó csak szükség esetén aktiválódik, energiát takarítva meg. A beépített napelem és a tartozék USB töltőkábel biztosítja, hogy mindig rendelkezésre álljon a szükséges energia.
Ráadásul ez a karó földbe szúrható vagy akár fel is akasztható, így rendkívül rugalmasan alkalmazható a kert különböző részein. A csomagban található cserélhető NiMH akkumulátorok tovább növelik a kényelmet és a használati időt. Ne hagyja, hogy az állatok zavarják kerti nyugalmát: válassza a Home AR02 állatriasztó karót, és élvezze a zavartalan kerti életet!</t>
        </is>
      </c>
    </row>
    <row r="243">
      <c r="A243" s="6" t="inlineStr">
        <is>
          <t xml:space="preserve">   Rovarriasztó, rágcsálóriasztó, szúnyogháló / Szúnyogháló</t>
        </is>
      </c>
      <c r="B243" s="6" t="inlineStr">
        <is>
          <t/>
        </is>
      </c>
      <c r="C243" s="6" t="inlineStr">
        <is>
          <t/>
        </is>
      </c>
      <c r="D243" s="6" t="inlineStr">
        <is>
          <t/>
        </is>
      </c>
      <c r="E243" s="6" t="inlineStr">
        <is>
          <t/>
        </is>
      </c>
      <c r="F243" s="6" t="inlineStr">
        <is>
          <t/>
        </is>
      </c>
      <c r="G243" s="6" t="inlineStr">
        <is>
          <t/>
        </is>
      </c>
    </row>
    <row r="244">
      <c r="A244" s="3" t="inlineStr">
        <is>
          <t>IN 22460</t>
        </is>
      </c>
      <c r="B244" s="2" t="inlineStr">
        <is>
          <t>Velcro szalag szúnyoghálók felszereléséhez</t>
        </is>
      </c>
      <c r="C244" s="1" t="n">
        <v>2790.0</v>
      </c>
      <c r="D244" s="7" t="n">
        <f>HYPERLINK("https://www.somogyi.hu/product/velcro-szalag-szunyoghalok-felszerelesehez-in-22460-16910","https://www.somogyi.hu/product/velcro-szalag-szunyoghalok-felszerelesehez-in-22460-16910")</f>
        <v>0.0</v>
      </c>
      <c r="E244" s="7" t="n">
        <f>HYPERLINK("https://www.somogyi.hu/data/img/product_main_images/small/16910.jpg","https://www.somogyi.hu/data/img/product_main_images/small/16910.jpg")</f>
        <v>0.0</v>
      </c>
      <c r="F244" s="2" t="inlineStr">
        <is>
          <t>7350007336989</t>
        </is>
      </c>
      <c r="G244" s="4" t="inlineStr">
        <is>
          <t>A Silverline IN 22460 Velcro szalag szúnyoghálók felszereléséhez alkalmas. Kompatibilis a Silverline IN 22450, IN 22452 és IN 22455 típusú szúnyoghálókhoz. 
Hossza 5,6 m.</t>
        </is>
      </c>
    </row>
    <row r="245">
      <c r="A245" s="3" t="inlineStr">
        <is>
          <t>ISM 90210</t>
        </is>
      </c>
      <c r="B245" s="2" t="inlineStr">
        <is>
          <t>Home ISM 90210 mágneses szúnyogháló, 90 x 210 cm ajtóra, tépőzár felhelyezés, mágneses záródás</t>
        </is>
      </c>
      <c r="C245" s="1" t="n">
        <v>5990.0</v>
      </c>
      <c r="D245" s="7" t="n">
        <f>HYPERLINK("https://www.somogyi.hu/product/home-ism-90210-magneses-szunyoghalo-90-x-210-cm-ajtora-tepozar-felhelyezes-magneses-zarodas-ism-90210-17599","https://www.somogyi.hu/product/home-ism-90210-magneses-szunyoghalo-90-x-210-cm-ajtora-tepozar-felhelyezes-magneses-zarodas-ism-90210-17599")</f>
        <v>0.0</v>
      </c>
      <c r="E245" s="7" t="n">
        <f>HYPERLINK("https://www.somogyi.hu/data/img/product_main_images/small/17599.jpg","https://www.somogyi.hu/data/img/product_main_images/small/17599.jpg")</f>
        <v>0.0</v>
      </c>
      <c r="F245" s="2" t="inlineStr">
        <is>
          <t>5999084956219</t>
        </is>
      </c>
      <c r="G245" s="4" t="inlineStr">
        <is>
          <t>Szeretné megakadályozni a szúnyogok és más rovarok bejutását otthonába? A Home ISM 90210 mágneses szúnyogháló a tökéletes megoldás!
Ez a mágneses szúnyogháló egyszerűen felszerelhető a tartozék öntapadós tépőzárcsík segítségével, így percek alatt használatra kész. A háló strapabíró, extra erős kivitelű, amely hosszú élettartamot biztosít, és tökéletesen zárja ki a rovarokat. A mágneses záródás lehetővé teszi a kényelmes és gyors áthaladást anélkül, hogy a hálót kézzel kellene nyitni vagy zárni.
A Home ISM 90210 szúnyogháló ideális 90 x 210 cm méretű ajtókra, így szinte bármilyen szabványos ajtóra tökéletesen illeszkedik. A háló nem csak hatékony védelmet nyújt, hanem könnyen karbantartható és tisztítható is.
Ne hagyja, hogy a rovarok megzavarják a nyugalmát! Szerezze be most a Home ISM 90210 mágneses szúnyoghálót, és élvezze a rovarmentes otthon kényelmét!</t>
        </is>
      </c>
    </row>
    <row r="246">
      <c r="A246" s="3" t="inlineStr">
        <is>
          <t>IN 22455</t>
        </is>
      </c>
      <c r="B246" s="2" t="inlineStr">
        <is>
          <t>Silverline IN 22455 szúnyogháló ajtóra, sűrű szövésű antracitszürke 2db</t>
        </is>
      </c>
      <c r="C246" s="1" t="n">
        <v>4890.0</v>
      </c>
      <c r="D246" s="7" t="n">
        <f>HYPERLINK("https://www.somogyi.hu/product/silverline-in-22455-szunyoghalo-ajtora-suru-szovesu-antracitszurke-2db-in-22455-16898","https://www.somogyi.hu/product/silverline-in-22455-szunyoghalo-ajtora-suru-szovesu-antracitszurke-2db-in-22455-16898")</f>
        <v>0.0</v>
      </c>
      <c r="E246" s="7" t="n">
        <f>HYPERLINK("https://www.somogyi.hu/data/img/product_main_images/small/16898.jpg","https://www.somogyi.hu/data/img/product_main_images/small/16898.jpg")</f>
        <v>0.0</v>
      </c>
      <c r="F246" s="2" t="inlineStr">
        <is>
          <t>7350007336972</t>
        </is>
      </c>
      <c r="G246" s="4" t="inlineStr">
        <is>
          <t>Hogyan élvezheti a friss levegőt anélkül, hogy a rovarok bejutnának otthonába?
A Silverline IN 22455 szúnyogháló ajtóra egy praktikus és hatékony megoldás, amely lehetővé teszi, hogy az ajtót nyitva tartva élvezhesse a friss levegőt, miközben távol tartja a kellemetlen rovarokat. Az InsectScreen Door sűrű szövésű, antracitszürke poliészter hálója hatékony védelmet nyújt a repülő rovarok ellen, miközben elegáns megjelenésével tökéletesen illeszkedik otthona stílusához.
Hatékony védelem a rovarok ellen
A szúnyogháló sűrű szövésű poliészter anyagból készült, amely megakadályozza a legkisebb rovarok bejutását is, miközben biztosítja a megfelelő légáramlást. Ezáltal nemcsak a szúnyogok, hanem a legyek, darazsak és más repülő kártevők ellen is védelmet nyújt, így nyugodtan pihenhet otthonában anélkül, hogy zavarnák a rovarok.
Tartós és elegáns poliészter háló
Az antracitszürke színű háló modern és letisztult megjelenést kölcsönöz az ajtónak, miközben diszkréten beleolvad a környezetbe. A tartós poliészter anyag ellenáll az időjárás viszontagságainak, így hosszú távon is megőrzi esztétikus megjelenését és funkcionalitását. A háló mérete 75 x 250 cm, amely lehetővé teszi a szabványos ajtókra való könnyű illesztést.
Egyszerű telepítés és használat
A csomagban található 2 darab szúnyogháló, amelyek gyorsan és egyszerűen rögzíthetők az ajtóra. A telepítéshez nincs szükség különleges szerszámokra, így akár egyedül is könnyedén felszerelheti. Az ajtóra szerelt szúnyoghálók könnyedén nyithatók és zárhatók, így biztosítva a kényelmes átjárást.
Miért érdemes a Silverline IN 22455 szúnyoghálót választani?
– Sűrű szövésű poliészter háló, amely hatékonyan védi otthonát a rovaroktól 
– Antracitszürke szín, amely elegáns megjelenést biztosít 
– Tartós és időjárásálló kivitel, amely hosszú távú használatot garantál 
– Egyszerű telepítés, amelyhez nincs szükség különleges eszközökre 
– Két darabos kiszerelés, amely még nagyobb védelmet biztosít
A Silverline IN 22455 szúnyogháló ajtóra ideális választás mindazok számára, akik szeretnék élvezni a friss levegőt, miközben otthonukat megóvják a kellemetlen rovaroktól. Válassza ezt a strapabíró és esztétikus megoldást, hogy kényelmesebb és nyugodtabb legyen az otthon töltött idő minden évszakban!</t>
        </is>
      </c>
    </row>
    <row r="247">
      <c r="A247" s="6" t="inlineStr">
        <is>
          <t xml:space="preserve">   Háztartási gép, eszköz / Aprító</t>
        </is>
      </c>
      <c r="B247" s="6" t="inlineStr">
        <is>
          <t/>
        </is>
      </c>
      <c r="C247" s="6" t="inlineStr">
        <is>
          <t/>
        </is>
      </c>
      <c r="D247" s="6" t="inlineStr">
        <is>
          <t/>
        </is>
      </c>
      <c r="E247" s="6" t="inlineStr">
        <is>
          <t/>
        </is>
      </c>
      <c r="F247" s="6" t="inlineStr">
        <is>
          <t/>
        </is>
      </c>
      <c r="G247" s="6" t="inlineStr">
        <is>
          <t/>
        </is>
      </c>
    </row>
    <row r="248">
      <c r="A248" s="3" t="inlineStr">
        <is>
          <t>HGAP15</t>
        </is>
      </c>
      <c r="B248" s="2" t="inlineStr">
        <is>
          <t>Home HGAP15 aprító, 400 W, 1,8 L üvegtál, 2 gomb, 2 sebességfokozat, STOP funkció, túlmelegedés elleni védelem, 2 kg</t>
        </is>
      </c>
      <c r="C248" s="1" t="n">
        <v>13790.0</v>
      </c>
      <c r="D248" s="7" t="n">
        <f>HYPERLINK("https://www.somogyi.hu/product/home-hgap15-aprito-400-w-1-8-l-uvegtal-2-gomb-2-sebessegfokozat-stop-funkcio-tulmelegedes-elleni-vedelem-2-kg-hgap15-18444","https://www.somogyi.hu/product/home-hgap15-aprito-400-w-1-8-l-uvegtal-2-gomb-2-sebessegfokozat-stop-funkcio-tulmelegedes-elleni-vedelem-2-kg-hgap15-18444")</f>
        <v>0.0</v>
      </c>
      <c r="E248" s="7" t="n">
        <f>HYPERLINK("https://www.somogyi.hu/data/img/product_main_images/small/18444.jpg","https://www.somogyi.hu/data/img/product_main_images/small/18444.jpg")</f>
        <v>0.0</v>
      </c>
      <c r="F248" s="2" t="inlineStr">
        <is>
          <t>5999084964627</t>
        </is>
      </c>
      <c r="G248" s="4" t="inlineStr">
        <is>
          <t>Hogyan gyorsíthatja fel az előkészítést a konyhában egy hatékony és egyszerűen használható aprítóval?
A Home HGAP15 aprító ideális választás mindazok számára, akik időt és energiát szeretnének spórolni a főzés során. A 400 W teljesítményű készülék két rozsdamentes acélkésével, strapabíró üvegtáljával és könnyű kezelhetőségével garantálja a gyors és precíz aprítást, legyen szó húsokról, zöldségekről vagy diófélékről.
Kiemelkedő teljesítmény és hatékonyság
- Erőteljes motor és strapabíró kialakítás . A 400 W-os motor biztosítja, hogy a Home HGAP15 aprító könnyedén megbirkózzon a legkeményebb alapanyagokkal is. A készülék két darab 2-élű rozsdamentes késével gyors és egyenletes aprítást érhet el, akár egyszerre használva őket.
- Sokoldalú felhasználás:  Ez az aprító kiválóan alkalmas húsok, zöldségek, gyümölcsök, diófélék és mogyorók gyors feldolgozására. Legyen szó egy ízletes salátáról vagy egy finom darált húsról, a Home HGAP15 segíti, hogy a konyhai munkát egyszerűbbé tegye.
Egyszerű kezelhetőség és biztonság
- Két gombos vezérlés és STOP funkció : A készülék egyszerűen, mindössze két gombbal vezérelhető, így a kezelése gyerekjáték. A STOP funkciónak köszönhetően a kések azonnal leállnak, amikor szükséges, ezáltal növelve a biztonságot.
- Túlmelegedés elleni védelem:  A készülék beépített túlmelegedés elleni védelemmel rendelkezik, amely biztosítja a hosszú élettartamot és a biztonságos használatot.
Praktikus és könnyen tisztítható kialakítás
- 1,8 literes üvegtál : A strapabíró, nem karcolódó üvegtál nagy kapacitása lehetővé teszi, hogy egyszerre nagyobb mennyiséget is feldolgozzon. Az üvegtál könnyen tisztítható, így időt takarít meg a mosogatás során.
- Kompakt és csendes működés:  A készülék zajszintje mindössze 60 dB(A), ami kényelmesebb használatot biztosít anélkül, hogy zavaró lenne a hangja. Kompakt méretének és mindössze 2 kg súlyának köszönhetően könnyedén tárolható.
Miért válassza a Home HGAP15 aprítót?
- Erőteljes 400 W-os motor a gyors és hatékony munkához.
- Két rozsdamentes acélkés az egyenletes aprításért.
- Strapabíró, 1,8 literes üvegtál, amely nem karcolódik.
- STOP funkció és túlmelegedés elleni védelem a biztonságos használat érdekében.
- Könnyen kezelhető és tisztítható, csendes működéssel.
Ne vesztegesse az időt hosszadalmas előkészítéssel! Válassza a Home HGAP15 aprítót, és élvezze a gyors és egyszerű konyhai munkát minden nap!</t>
        </is>
      </c>
    </row>
    <row r="249">
      <c r="A249" s="3" t="inlineStr">
        <is>
          <t>HG AP 13</t>
        </is>
      </c>
      <c r="B249" s="2" t="inlineStr">
        <is>
          <t>Home HG AP 13 aprító, teljesítmény 320 W, 1 literes üvegtál, rozsdamentes kések</t>
        </is>
      </c>
      <c r="C249" s="1" t="n">
        <v>12390.0</v>
      </c>
      <c r="D249" s="7" t="n">
        <f>HYPERLINK("https://www.somogyi.hu/product/home-hg-ap-13-aprito-teljesitmeny-320-w-1-literes-uvegtal-rozsdamentes-kesek-hg-ap-13-15239","https://www.somogyi.hu/product/home-hg-ap-13-aprito-teljesitmeny-320-w-1-literes-uvegtal-rozsdamentes-kesek-hg-ap-13-15239")</f>
        <v>0.0</v>
      </c>
      <c r="E249" s="7" t="n">
        <f>HYPERLINK("https://www.somogyi.hu/data/img/product_main_images/small/15239.jpg","https://www.somogyi.hu/data/img/product_main_images/small/15239.jpg")</f>
        <v>0.0</v>
      </c>
      <c r="F249" s="2" t="inlineStr">
        <is>
          <t>5999084932732</t>
        </is>
      </c>
      <c r="G249" s="4" t="inlineStr">
        <is>
          <t>Kíváncsi, hogyan könnyítheti meg a mindennapi konyhai munkát egy aprító? A Home HG AP 13 aprító a tökéletes megoldás az Ön számára! 
Ezzel a 320 W teljesítményű készülékkel pillanatok alatt felapríthatja a zöldségeket, gyümölcsöket, vagy akár dióféléket is. Az 1 literes, üvegtál elegendő kapacitást biztosít a különböző ételek elkészítéséhez, és könnyen tisztítható. A rozsdamentes acél kés hosszú élettartamot és hatékony aprítást garantál. A készülék 230 V~ tápellátással működik, így bármelyik szabványos hálózati csatlakozóval kompatibilis. Mérete: 19 x 22 x 16 cm, súlya pedig mindössze 1,7 kg, így kis helyet foglal és könnyen mozgatható.
Ne hagyja ki ezt a praktikus konyhai segédeszközt! Vásároljon most, és tegye még élvezetesebbé a főzést a Home HG AP 13 aprítóval!</t>
        </is>
      </c>
    </row>
    <row r="250">
      <c r="A250" s="3" t="inlineStr">
        <is>
          <t>S501GW</t>
        </is>
      </c>
      <c r="B250" s="2" t="inlineStr">
        <is>
          <t>Gorenje S501GW aprító, 500 W, kettős acél pengerendszer, mérőskálázott kehely, fehér</t>
        </is>
      </c>
      <c r="C250" s="1" t="n">
        <v>11990.0</v>
      </c>
      <c r="D250" s="7" t="n">
        <f>HYPERLINK("https://www.somogyi.hu/product/gorenje-s501gw-aprito-500-w-kettos-acel-pengerendszer-meroskalazott-kehely-feher-s501gw-18297","https://www.somogyi.hu/product/gorenje-s501gw-aprito-500-w-kettos-acel-pengerendszer-meroskalazott-kehely-feher-s501gw-18297")</f>
        <v>0.0</v>
      </c>
      <c r="E250" s="7" t="n">
        <f>HYPERLINK("https://www.somogyi.hu/data/img/product_main_images/small/18297.jpg","https://www.somogyi.hu/data/img/product_main_images/small/18297.jpg")</f>
        <v>0.0</v>
      </c>
      <c r="F250" s="2" t="inlineStr">
        <is>
          <t>3838782606762</t>
        </is>
      </c>
      <c r="G250" s="4" t="inlineStr">
        <is>
          <t>Egy elektromos aprítót keres, amely erős, precíz, és kényelmesen használható a mindennapi konyhai munkák során? A Gorenje S501GW aprító kiváló választás, ha gyors és hatékony eredményeket szeretne elérni. 
Az 500 wattos teljesítmény garantálja, hogy a készülék a legkeményebb alapanyagokkal is könnyedén megbirkózik – legyen szó zöldségekről, gyümölcsökről vagy akár magvakról. A Gorenje S501GW aprító kettős acél pengerendszere rozsdamentes acélból készült, amely nemcsak tartós és időtálló, de a precíz vágásokért is felel. Az éles pengék biztosítják, hogy az alapanyagok aprítása gyors és egyenletes legyen, így nem kell hosszú ideig darabolni, míg eléri a kívánt állagot. A fehér színű, elegáns kialakítás minden konyhai környezetbe jól illeszkedik, miközben a könnyű kezelhetőség a praktikumot szolgálja.
Az ON/OFF gomb egyszerű vezérlést tesz lehetővé, így akár egyetlen gombnyomással elindítható vagy leállítható az aprítási folyamat. A készülékhez tartozó mérőskálázott kehely megkönnyíti az adagolást, így minden recept pontosan követhető, a kívánt mennyiségek pontosan mérhetők. A kehely mosogatógépben mosható, így a tisztítás gyors és egyszerű, a higiénia pedig garantált.
Válassza a Gorenje S501GW aprítót, ha egy elegáns és sokoldalú konyhai eszközt keres, amely precíz, erőteljes, és minden alapanyaggal könnyedén elbánik. Tegye egyszerűbbé a mindennapi konyhai feladatokat, és élvezze az aprítás gyorsaságát és pontosságát minden alkalommal!</t>
        </is>
      </c>
    </row>
    <row r="251">
      <c r="A251" s="3" t="inlineStr">
        <is>
          <t>HG AP 18</t>
        </is>
      </c>
      <c r="B251" s="2" t="inlineStr">
        <is>
          <t>Home HG AP 18 aprító, teljesítmény 400 W, 1,8 literes üvegtál, 4-élű rozsdamentes kés, STOP funkció</t>
        </is>
      </c>
      <c r="C251" s="1" t="n">
        <v>19590.0</v>
      </c>
      <c r="D251" s="7" t="n">
        <f>HYPERLINK("https://www.somogyi.hu/product/home-hg-ap-18-aprito-teljesitmeny-400-w-1-8-literes-uvegtal-4-elu-rozsdamentes-kes-stop-funkcio-hg-ap-18-18052","https://www.somogyi.hu/product/home-hg-ap-18-aprito-teljesitmeny-400-w-1-8-literes-uvegtal-4-elu-rozsdamentes-kes-stop-funkcio-hg-ap-18-18052")</f>
        <v>0.0</v>
      </c>
      <c r="E251" s="7" t="n">
        <f>HYPERLINK("https://www.somogyi.hu/data/img/product_main_images/small/18052.jpg","https://www.somogyi.hu/data/img/product_main_images/small/18052.jpg")</f>
        <v>0.0</v>
      </c>
      <c r="F251" s="2" t="inlineStr">
        <is>
          <t>5999084960742</t>
        </is>
      </c>
      <c r="G251" s="4" t="inlineStr">
        <is>
          <t>Szeretne egy olyan aprítót, amely erős, sokoldalú, és akár a legkeményebb alapanyagokkal is elbánik? A Home HG AP 18 aprító kiváló választás mindennapi konyhai feladatokra! 
Ez a 400 wattos teljesítményű készülék gyorsan és hatékonyan dolgozik, így nemcsak időt takarít meg, hanem garantálja, hogy az aprítás, darálás és keverés is mindig pontos és egyenletes legyen. A készülék központi eleme a strapabíró, 1,8 literes üvegtál, amely nem karcolódik, hosszú távon is megőrzi esztétikus megjelenését, és megfelelő méretű akár nagyobb adagok elkészítéséhez is. A Home HG AP 18 négyélű rozsdamentes acél kése kiválóan alkalmas különféle ételek feldolgozására, legyen szó húsokról, zöldségekről, gyümölcsökről, vagy akár olajos magvakról, mint a dió és mogyoró. A kés STOP funkciója pedig garantálja a maximális biztonságot: a pengék azonnal megállnak, amint elengedi a gombot.
Egyszerű egygombos vezérlése lehetővé teszi a könnyű és kényelmes használatot, míg az ergonomikus kialakításnak köszönhetően gyorsan szétszedhető és tisztítható. A csomagban található további tartozékok – dagasztókar, habverőtárcsa, hámozóhenger fokhagymához – még sokoldalúbbá teszik a készüléket, így számos konyhai feladat egyszerűsödik le egyetlen géppel. A Home HG AP 18 aprító megbízható, masszív kialakítása és erős motorja ideális társ a konyhában, amely bármilyen alapanyaggal elbánik. 
Válassza ezt a praktikus, nagy teljesítményű aprítót, és élvezze a gyors, precíz és kényelmes előkészületeket – fedezze fel, milyen egyszerű lehet a főzés!</t>
        </is>
      </c>
    </row>
    <row r="252">
      <c r="A252" s="6" t="inlineStr">
        <is>
          <t xml:space="preserve">   Háztartási gép, eszköz / Aszaló</t>
        </is>
      </c>
      <c r="B252" s="6" t="inlineStr">
        <is>
          <t/>
        </is>
      </c>
      <c r="C252" s="6" t="inlineStr">
        <is>
          <t/>
        </is>
      </c>
      <c r="D252" s="6" t="inlineStr">
        <is>
          <t/>
        </is>
      </c>
      <c r="E252" s="6" t="inlineStr">
        <is>
          <t/>
        </is>
      </c>
      <c r="F252" s="6" t="inlineStr">
        <is>
          <t/>
        </is>
      </c>
      <c r="G252" s="6" t="inlineStr">
        <is>
          <t/>
        </is>
      </c>
    </row>
    <row r="253">
      <c r="A253" s="3" t="inlineStr">
        <is>
          <t>HG ASZ 5</t>
        </is>
      </c>
      <c r="B253" s="2" t="inlineStr">
        <is>
          <t>Home HG ASZ 5 aszaló, 35-70°C között állítható hőmérséklet, 5 tálca, töltőtömeg 3,5 kg, 250 W, fehér</t>
        </is>
      </c>
      <c r="C253" s="1" t="n">
        <v>18990.0</v>
      </c>
      <c r="D253" s="7" t="n">
        <f>HYPERLINK("https://www.somogyi.hu/product/home-hg-asz-5-aszalo-35-70-c-kozott-allithato-homerseklet-5-talca-toltotomeg-3-5-kg-250-w-feher-hg-asz-5-18054","https://www.somogyi.hu/product/home-hg-asz-5-aszalo-35-70-c-kozott-allithato-homerseklet-5-talca-toltotomeg-3-5-kg-250-w-feher-hg-asz-5-18054")</f>
        <v>0.0</v>
      </c>
      <c r="E253" s="7" t="n">
        <f>HYPERLINK("https://www.somogyi.hu/data/img/product_main_images/small/18054.jpg","https://www.somogyi.hu/data/img/product_main_images/small/18054.jpg")</f>
        <v>0.0</v>
      </c>
      <c r="F253" s="2" t="inlineStr">
        <is>
          <t>5999084960766</t>
        </is>
      </c>
      <c r="G253" s="4" t="inlineStr">
        <is>
          <t>Szeretné otthon elkészíteni a legfinomabb aszalt gyümölcsöket és zöldségeket? A Home HG ASZ 5 aszalóval ez nemcsak lehetséges, hanem élvezetes is! 
Ezt a 400 W teljesítményű készüléket úgy tervezték, hogy tökéletesen aszaljon mindent, amit szeret. Öt tágas aszalótálcája van, amelyek egyenként akár 3,5 kg töltőtömeggel is terhelhetők, így nagyobb mennyiségű élelmiszert is egyszerre készíthet el. Az állítható aszalási hőmérséklet 35 és 70°C között lehetővé teszi, hogy a különböző típusú gyümölcsök, zöldségek, zöldfűszerek és magvak mindig a legoptimálisabb hőmérsékleten száradjanak.
A Home HG ASZ 5 aszaló fehér színben elegáns megjelenést biztosít konyhájának, míg kompakt mérete (31 x 21 x 25 cm) könnyű elhelyezést tesz lehetővé. A készülék csendes működése, mindössze 68 dB(A) zajszinten, biztosítja, hogy nyugodt környezetben dolgozhasson. A működést jelző LED és a kiváló belső légáramlás garantálja az egyenletes és hatékony aszalást minden egyes alkalommal.
Ne várjon tovább! Szerezze be a Home HG ASZ 5 aszalót még ma, és élvezze a friss, házi készítésű aszalt finomságok ízét minden nap!</t>
        </is>
      </c>
    </row>
    <row r="254">
      <c r="A254" s="6" t="inlineStr">
        <is>
          <t xml:space="preserve">   Háztartási gép, eszköz / Dagasztógép</t>
        </is>
      </c>
      <c r="B254" s="6" t="inlineStr">
        <is>
          <t/>
        </is>
      </c>
      <c r="C254" s="6" t="inlineStr">
        <is>
          <t/>
        </is>
      </c>
      <c r="D254" s="6" t="inlineStr">
        <is>
          <t/>
        </is>
      </c>
      <c r="E254" s="6" t="inlineStr">
        <is>
          <t/>
        </is>
      </c>
      <c r="F254" s="6" t="inlineStr">
        <is>
          <t/>
        </is>
      </c>
      <c r="G254" s="6" t="inlineStr">
        <is>
          <t/>
        </is>
      </c>
    </row>
    <row r="255">
      <c r="A255" s="3" t="inlineStr">
        <is>
          <t>HGDG800</t>
        </is>
      </c>
      <c r="B255" s="2" t="inlineStr">
        <is>
          <t>Home HGDG800 konyhai robotgép, 800W, 6 literes rozsdamentes keverőtál, LED kijelző</t>
        </is>
      </c>
      <c r="C255" s="1" t="n">
        <v>51890.0</v>
      </c>
      <c r="D255" s="7" t="n">
        <f>HYPERLINK("https://www.somogyi.hu/product/home-hgdg800-konyhai-robotgep-800w-6-literes-rozsdamentes-keverotal-led-kijelzo-hgdg800-18856","https://www.somogyi.hu/product/home-hgdg800-konyhai-robotgep-800w-6-literes-rozsdamentes-keverotal-led-kijelzo-hgdg800-18856")</f>
        <v>0.0</v>
      </c>
      <c r="E255" s="7" t="n">
        <f>HYPERLINK("https://www.somogyi.hu/data/img/product_main_images/small/18856.jpg","https://www.somogyi.hu/data/img/product_main_images/small/18856.jpg")</f>
        <v>0.0</v>
      </c>
      <c r="F255" s="2" t="inlineStr">
        <is>
          <t>5999084968625</t>
        </is>
      </c>
      <c r="G255" s="4" t="inlineStr">
        <is>
          <t>Gondolkodott már azon, hogyan tehetné könnyebbé és hatékonyabbá a konyhai feladatait? A Home HGDG800 konyhai robotgép pontosan ezt nyújtja, hiszen az erőteljes 800 wattos DC motorjával és a 6 literes rozsdamentes acél keverőtáljával a nagyobb adagok feldolgozása is gyerekjáték lesz. 
Az egyenletes és rezgésmentes működés biztosítja, hogy a készülék stabilan dolgozzon, miközben a 6 fokozatban állítható sebesség és a Pulse funkció lehetővé teszi, hogy minden keverési, dagasztási vagy habverési feladatot a megfelelő intenzitással végezzen el. A digitális számlálóval ellátott fehér LED kijelző segítségével mindig pontosan követheti az időzítést és a műveleteket, így nem kell többé aggódnia az optimális elkészítési idő miatt. 
A kellemes tapintású, minőségi műanyag burkolat nemcsak esztétikailag vonzó, hanem tartósságot is biztosít, míg a felnyíló fejrész könnyed hozzáférést biztosít a keverőtálhoz és a tartozékokhoz, mint a dagasztókar, habverő és keverő. Az átlátszó fedél és az adagolónyílás lehetővé teszi, hogy könnyedén hozzáadjon további összetevőket anélkül, hogy le kellene állítania a gépet. A tapadókorongos talpak stabilan tartják a robotgépet a munkalapon, így Ön teljes nyugalomban dolgozhat, míg a vezetéktároló rendezetten tartja a konyhát. A Home HGDG800 robotgép nemcsak egy praktikus eszköz, hanem egy megbízható segítőtárs is, amely a konyhai kreativitásának minden lépésében támogatja.
Válassza a Home HGDG800 konyhai robotgépet, és tapasztalja meg, milyen egyszerűvé válik a sütés-főzés, miközben időt és energiát takarít meg!</t>
        </is>
      </c>
    </row>
    <row r="256">
      <c r="A256" s="6" t="inlineStr">
        <is>
          <t xml:space="preserve">   Háztartási gép, eszköz / Fóliahegesztő</t>
        </is>
      </c>
      <c r="B256" s="6" t="inlineStr">
        <is>
          <t/>
        </is>
      </c>
      <c r="C256" s="6" t="inlineStr">
        <is>
          <t/>
        </is>
      </c>
      <c r="D256" s="6" t="inlineStr">
        <is>
          <t/>
        </is>
      </c>
      <c r="E256" s="6" t="inlineStr">
        <is>
          <t/>
        </is>
      </c>
      <c r="F256" s="6" t="inlineStr">
        <is>
          <t/>
        </is>
      </c>
      <c r="G256" s="6" t="inlineStr">
        <is>
          <t/>
        </is>
      </c>
    </row>
    <row r="257">
      <c r="A257" s="3" t="inlineStr">
        <is>
          <t>HGFH01</t>
        </is>
      </c>
      <c r="B257" s="2" t="inlineStr">
        <is>
          <t>Home HGFH01 vákuumos fóliahegesztő, max 30cm hosszú és 2mm széles hegesztés, -0,8bar, 100W, vákuumcsővel, mini fóliavágóval</t>
        </is>
      </c>
      <c r="C257" s="1" t="n">
        <v>18890.0</v>
      </c>
      <c r="D257" s="7" t="n">
        <f>HYPERLINK("https://www.somogyi.hu/product/home-hgfh01-vakuumos-foliahegeszto-max-30cm-hosszu-es-2mm-szeles-hegesztes-0-8bar-100w-vakuumcsovel-mini-foliavagoval-hgfh01-18566","https://www.somogyi.hu/product/home-hgfh01-vakuumos-foliahegeszto-max-30cm-hosszu-es-2mm-szeles-hegesztes-0-8bar-100w-vakuumcsovel-mini-foliavagoval-hgfh01-18566")</f>
        <v>0.0</v>
      </c>
      <c r="E257" s="7" t="n">
        <f>HYPERLINK("https://www.somogyi.hu/data/img/product_main_images/small/18566.jpg","https://www.somogyi.hu/data/img/product_main_images/small/18566.jpg")</f>
        <v>0.0</v>
      </c>
      <c r="F257" s="2" t="inlineStr">
        <is>
          <t>5999084965846</t>
        </is>
      </c>
      <c r="G257" s="4" t="inlineStr">
        <is>
          <t>Szeretné ételeit frissen és biztonságosan tárolni, miközben minimalizálja a pazarlást? A Home HGFH01 vákuumos fóliahegesztő ideális megoldás mindazok számára, akik hosszabb ideig szeretnék megőrizni élelmiszereik minőségét. 
Ez a 100 W teljesítményű készülék automatikus és manuális vákuumozási funkcióval rendelkezik, így rugalmasan alkalmazkodik az Ön igényeihez. A maximális szívóerő eléri a -0,8 bart, ami garantálja a gyors és hatékony vákuumozást. A készülék külön hegesztés funkcióval is bír, ahol a hegesztés hossza maximum 30 cm, a szélessége pedig 2 mm, ezáltal különféle méretű zacskókhoz is használható. A csomag tartozékai közé tartozik egy mini fóliavágó, vákuum cső, és 5 darab 20x30 cm-es tasak, így azonnal használatba is veheti a készüléket. További tartalékfólia típusok: HGF2030, HGF2840, HGF28500, melyek széles választéka minden igénynek megfelel.
A készülék halk működésű, a zajszintje kevesebb, mint 68 dB(A), így nem zavarja Önt és környezetét. Kompakt mérete (240x255x180 mm) és könnyű súlya (952 g) révén könnyen tárolható és hordozható. Tápellátása 220-240V~, 50-60Hz, így bárhol használhatja, ahol csak szüksége van rá.
Ne habozzon, vásároljon most, és élvezze a frissesség élményét minden nap!</t>
        </is>
      </c>
    </row>
    <row r="258">
      <c r="A258" s="3" t="inlineStr">
        <is>
          <t>VB12/55</t>
        </is>
      </c>
      <c r="B258" s="2" t="inlineStr">
        <is>
          <t>Gorenje VB12/55 zacskó, 1 literes, 30db, 12 x 55 cm</t>
        </is>
      </c>
      <c r="C258" s="1" t="n">
        <v>3790.0</v>
      </c>
      <c r="D258" s="7" t="n">
        <f>HYPERLINK("https://www.somogyi.hu/product/gorenje-vb12-55-zacsko-1-literes-30db-12-x-55-cm-vb12-55-17191","https://www.somogyi.hu/product/gorenje-vb12-55-zacsko-1-literes-30db-12-x-55-cm-vb12-55-17191")</f>
        <v>0.0</v>
      </c>
      <c r="E258" s="7" t="n">
        <f>HYPERLINK("https://www.somogyi.hu/data/img/product_main_images/small/17191.jpg","https://www.somogyi.hu/data/img/product_main_images/small/17191.jpg")</f>
        <v>0.0</v>
      </c>
      <c r="F258" s="2" t="inlineStr">
        <is>
          <t>3838942741173</t>
        </is>
      </c>
      <c r="G258" s="4" t="inlineStr">
        <is>
          <t>Szeretné, ha az ételei hosszabb ideig megőriznék frissességüket, ízüket és aromájukat? A Gorenje VB12/55 vákuumcsomagoló zacskók ideális választást jelentenek a biztonságos és hatékony tároláshoz. 
Ezek az 1 literes, szag- és ízmentes zacskók tökéletesen megfelelnek a legkülönfélébb élelmiszerek tárolására, így azok hosszabb ideig frissek maradnak és megőrzik minőségüket. A csomagban 30 darab, egyenként 12 x 55 cm méretű vákuumzacskó található, amely kifejezetten Gorenje vákuumcsomagoló gépekhez készült, biztosítva az optimális illeszkedést és hatékonyságot. A zacskók kiválóan alkalmasak húsok, zöldségek, gyümölcsök, vagy akár készételek tárolására is, megakadályozva a szagok és ízek keveredését, így mindig élvezheti az étel frissességét. A tartós, erős anyagból készült zacskók ellenállnak a mindennapi használatnak, miközben egyszerűvé teszik a tárolást és rendszerezést a konyhában.
Ne hagyja, hogy az élelmiszerek idő előtt megromoljanak – válassza a Gorenje VB12/55 vákuumzacskókat, hogy minden étel hosszabb ideig élvezhető maradjon! Tartsa meg ételei minőségét és frissességét a Gorenje vákuumzacskóival, és tegye még hatékonyabbá a konyhai tárolást!</t>
        </is>
      </c>
    </row>
    <row r="259">
      <c r="A259" s="3" t="inlineStr">
        <is>
          <t>VB12/55</t>
        </is>
      </c>
      <c r="B259" s="2" t="inlineStr">
        <is>
          <t>Gorenje VB12/55 zacskó, 1 literes, 30db, 12 x 55 cm</t>
        </is>
      </c>
      <c r="C259" s="1" t="n">
        <v>5790.0</v>
      </c>
      <c r="D259" s="7" t="n">
        <f>HYPERLINK("https://www.somogyi.hu/product/gorenje-vb12-55-zacsko-1-literes-30db-12-x-55-cm-vb12-55-17191","https://www.somogyi.hu/product/gorenje-vb12-55-zacsko-1-literes-30db-12-x-55-cm-vb12-55-17191")</f>
        <v>0.0</v>
      </c>
      <c r="E259" s="7" t="n">
        <f>HYPERLINK("https://www.somogyi.hu/data/img/product_main_images/small/17191.jpg","https://www.somogyi.hu/data/img/product_main_images/small/17191.jpg")</f>
        <v>0.0</v>
      </c>
      <c r="F259" s="2" t="inlineStr">
        <is>
          <t>3838942741173</t>
        </is>
      </c>
      <c r="G259" s="4" t="inlineStr">
        <is>
          <t>Szeretné, ha az ételei hosszabb ideig megőriznék frissességüket, ízüket és aromájukat? A Gorenje VB12/55 vákuumcsomagoló zacskók ideális választást jelentenek a biztonságos és hatékony tároláshoz. 
Ezek az 1 literes, szag- és ízmentes zacskók tökéletesen megfelelnek a legkülönfélébb élelmiszerek tárolására, így azok hosszabb ideig frissek maradnak és megőrzik minőségüket. A csomagban 30 darab, egyenként 12 x 55 cm méretű vákuumzacskó található, amely kifejezetten Gorenje vákuumcsomagoló gépekhez készült, biztosítva az optimális illeszkedést és hatékonyságot. A zacskók kiválóan alkalmasak húsok, zöldségek, gyümölcsök, vagy akár készételek tárolására is, megakadályozva a szagok és ízek keveredését, így mindig élvezheti az étel frissességét. A tartós, erős anyagból készült zacskók ellenállnak a mindennapi használatnak, miközben egyszerűvé teszik a tárolást és rendszerezést a konyhában.
Ne hagyja, hogy az élelmiszerek idő előtt megromoljanak – válassza a Gorenje VB12/55 vákuumzacskókat, hogy minden étel hosszabb ideig élvezhető maradjon! Tartsa meg ételei minőségét és frissességét a Gorenje vákuumzacskóival, és tegye még hatékonyabbá a konyhai tárolást!</t>
        </is>
      </c>
    </row>
    <row r="260">
      <c r="A260" s="3" t="inlineStr">
        <is>
          <t>HGF2030</t>
        </is>
      </c>
      <c r="B260" s="2" t="inlineStr">
        <is>
          <t>Home HGF2030 vákuumfólia zacskó, 20x30cm, 50db, PE+szilikon, fagyasztható, mikrózható</t>
        </is>
      </c>
      <c r="C260" s="1" t="n">
        <v>3990.0</v>
      </c>
      <c r="D260" s="7" t="n">
        <f>HYPERLINK("https://www.somogyi.hu/product/home-hgf2030-vakuumfolia-zacsko-20x30cm-50db-pe-szilikon-fagyaszthato-mikrozhato-hgf2030-18575","https://www.somogyi.hu/product/home-hgf2030-vakuumfolia-zacsko-20x30cm-50db-pe-szilikon-fagyaszthato-mikrozhato-hgf2030-18575")</f>
        <v>0.0</v>
      </c>
      <c r="E260" s="7" t="n">
        <f>HYPERLINK("https://www.somogyi.hu/data/img/product_main_images/small/18575.jpg","https://www.somogyi.hu/data/img/product_main_images/small/18575.jpg")</f>
        <v>0.0</v>
      </c>
      <c r="F260" s="2" t="inlineStr">
        <is>
          <t>5999084965938</t>
        </is>
      </c>
      <c r="G260" s="4" t="inlineStr">
        <is>
          <t>Szeretné, hogy élelmiszerei hosszabb ideig megőrizzék frissességüket és eredeti ízüket? A Home HGF2030 vákuumfólia zacskó tökéletes megoldás az ételek tartósítására!
A Home HGF2030 vákuumfólia zacskók kompatibilisek a Home HGFH10 és Home HGFH01 vákuumos fóliahegesztőkkel, így egyszerűen használhatók a konyhában. Ezek a zacskók kiválóan alkalmasak az élelmiszerek frissességének megőrzésére, megőrizve az eredeti ízt és aromát. Az élelmiszer-biztonságos anyagból készültek, káros vegyszerek nélkül, így biztonságosak a mindennapi használatra.
A 20x30 cm méretű zacskók elegendő helyet biztosítanak különböző élelmiszerek tárolására, és egy csomagban 50 darab található, így hosszú távra elegendő mennyiséget biztosítanak. Az átlátszó szín lehetővé teszi, hogy könnyen látható legyen, mi van a zacskókban, így egyszerűen rendszerezheti élelmiszereit. A PE+szilikon anyagból készült zacskók tartósak és megbízhatóak. Ezek a vákuumfólia zacskók mikrózhatók és fagyaszthatók is, így sokoldalúan használhatók a konyhában. Akár friss ételeket, akár maradékokat szeretne tárolni, ezek a zacskók minden igényt kielégítenek.
Rendelje meg most a Home HGF2030 vákuumfólia zacskókat, és élvezze az ételek hosszan tartó frissességét és ízét!</t>
        </is>
      </c>
    </row>
    <row r="261">
      <c r="A261" s="3" t="inlineStr">
        <is>
          <t>HGF2840</t>
        </is>
      </c>
      <c r="B261" s="2" t="inlineStr">
        <is>
          <t>Home HGF2840 vákuumfólia zacskó, 28x40cm, 50db, PE+szilikon, fagyasztható, mikrózható</t>
        </is>
      </c>
      <c r="C261" s="1" t="n">
        <v>6990.0</v>
      </c>
      <c r="D261" s="7" t="n">
        <f>HYPERLINK("https://www.somogyi.hu/product/home-hgf2840-vakuumfolia-zacsko-28x40cm-50db-pe-szilikon-fagyaszthato-mikrozhato-hgf2840-18576","https://www.somogyi.hu/product/home-hgf2840-vakuumfolia-zacsko-28x40cm-50db-pe-szilikon-fagyaszthato-mikrozhato-hgf2840-18576")</f>
        <v>0.0</v>
      </c>
      <c r="E261" s="7" t="n">
        <f>HYPERLINK("https://www.somogyi.hu/data/img/product_main_images/small/18576.jpg","https://www.somogyi.hu/data/img/product_main_images/small/18576.jpg")</f>
        <v>0.0</v>
      </c>
      <c r="F261" s="2" t="inlineStr">
        <is>
          <t>5999084965945</t>
        </is>
      </c>
      <c r="G261" s="4" t="inlineStr">
        <is>
          <t>Szeretné, hogy élelmiszerei hosszabb ideig megőrizzék frissességüket és eredeti ízüket? A Home HGF2840 vákuumfólia zacskó tökéletes megoldás az ételek tartósítására!
A Home HGF2840 vákuumfólia zacskók kompatibilisek a Home HGFH10 és Home HGFH01 vákuumos fóliahegesztőkkel, így egyszerűen használhatók a konyhában. Ezek a zacskók kiválóan alkalmasak az élelmiszerek frissességének megőrzésére, megőrizve az eredeti ízt és aromát. Az élelmiszer-biztonságos anyagból készültek, káros vegyszerek nélkül, így biztonságosak a mindennapi használatra.
A 28x40 cm méretű zacskók elegendő helyet biztosítanak különböző élelmiszerek tárolására, és egy csomagban 50 darab található, így hosszú távra elegendő mennyiséget biztosítanak. Az átlátszó szín lehetővé teszi, hogy könnyen látható legyen, mi van a zacskókban, így egyszerűen rendszerezheti élelmiszereit. A PE+szilikon anyagból készült zacskók tartósak és megbízhatóak. Ezek a vákuumfólia zacskók mikrózhatók és fagyaszthatók is, így sokoldalúan használhatók a konyhában. Akár friss ételeket, akár maradékokat szeretne tárolni, ezek a zacskók minden igényt kielégítenek.
Rendelje meg most a Home HGF2840 vákuumfólia zacskókat, és élvezze az ételek hosszan tartó frissességét és ízét!</t>
        </is>
      </c>
    </row>
    <row r="262">
      <c r="A262" s="3" t="inlineStr">
        <is>
          <t>HGFH10</t>
        </is>
      </c>
      <c r="B262" s="2" t="inlineStr">
        <is>
          <t>Home HGFH10 vákuumos fóliahegesztő, belső fóliatárolóval, max 30cm hosszú és 2mm széles hegesztés, -0,7bar, 130W, vákuumcsővel, mini fóliavágóval</t>
        </is>
      </c>
      <c r="C262" s="1" t="n">
        <v>30290.0</v>
      </c>
      <c r="D262" s="7" t="n">
        <f>HYPERLINK("https://www.somogyi.hu/product/home-hgfh10-vakuumos-foliahegeszto-belso-foliataroloval-max-30cm-hosszu-es-2mm-szeles-hegesztes-0-7bar-130w-vakuumcsovel-mini-foliavagoval-hgfh10-18567","https://www.somogyi.hu/product/home-hgfh10-vakuumos-foliahegeszto-belso-foliataroloval-max-30cm-hosszu-es-2mm-szeles-hegesztes-0-7bar-130w-vakuumcsovel-mini-foliavagoval-hgfh10-18567")</f>
        <v>0.0</v>
      </c>
      <c r="E262" s="7" t="n">
        <f>HYPERLINK("https://www.somogyi.hu/data/img/product_main_images/small/18567.jpg","https://www.somogyi.hu/data/img/product_main_images/small/18567.jpg")</f>
        <v>0.0</v>
      </c>
      <c r="F262" s="2" t="inlineStr">
        <is>
          <t>5999084965853</t>
        </is>
      </c>
      <c r="G262" s="4" t="inlineStr">
        <is>
          <t>Szeretne hosszabb ideig friss és ízletes ételeket tárolni anélkül, hogy azok megromlanának? A Home HGFH10 vákuumos fóliahegesztő a tökéletes megoldás az ételek hatékony tárolására. 
A készülék 130 W teljesítményével és kétféle vákuumozási lehetőséggel – automatikus és manuális – könnyedén alkalmazkodik az Ön igényeihez. Akár nedves, akár száraz élelmiszereket szeretne vákuumozni, ez a fóliahegesztő mindkét esetben megbízhatóan működik.
A készülék szívóereje eléri a -0,7 bart, ami biztosítja a gyors és hatékony vákuumozást. A külön hegesztés funkciónak köszönhetően a hegesztési hossz eléri a 30 cm-t, míg a hegesztési szélesség körülbelül 3 mm, ezáltal különböző méretű zacskókhoz is ideális. A belső fóliatekercs tároló (max. Ø6,2 cm) és a beépített fóliavágó tovább növeli a készülék kényelmét és praktikumát.
A Home HGFH10 vákuumos fóliahegesztőhöz tartozik 5 darab 20x30 cm-es tasak, így azonnal megkezdheti az élelmiszerek vákuumozását. A tartalékfólia típusok: HGF2030, HGF2840, HGF28500, amelyek széles választéka minden igényt kielégít. A készülék halk működésű, a zajszintje kevesebb, mint 68 dB(A), így nem zavarja a háztartás nyugalmát. Kompakt méretének (389x84x150 mm) és könnyű súlyának (1399 g) köszönhetően könnyen tárolható és szállítható. Tápellátása 220-240V~, 50-60Hz, így bármikor használatra kész.
Ne várjon tovább, válassza a Home HGFH10 vákuumos fóliahegesztőt, és élvezze a hosszabb ideig friss ételek előnyeit még ma!</t>
        </is>
      </c>
    </row>
    <row r="263">
      <c r="A263" s="3" t="inlineStr">
        <is>
          <t>HGF28500</t>
        </is>
      </c>
      <c r="B263" s="2" t="inlineStr">
        <is>
          <t>Home HGF28500 vákuumfólia tekercs, 28x500cm, 2 tekercs, PE+szilikon, méretre vágható, fagyasztható, mikrózható</t>
        </is>
      </c>
      <c r="C263" s="1" t="n">
        <v>3690.0</v>
      </c>
      <c r="D263" s="7" t="n">
        <f>HYPERLINK("https://www.somogyi.hu/product/home-hgf28500-vakuumfolia-tekercs-28x500cm-2-tekercs-pe-szilikon-meretre-vaghato-fagyaszthato-mikrozhato-hgf28500-18577","https://www.somogyi.hu/product/home-hgf28500-vakuumfolia-tekercs-28x500cm-2-tekercs-pe-szilikon-meretre-vaghato-fagyaszthato-mikrozhato-hgf28500-18577")</f>
        <v>0.0</v>
      </c>
      <c r="E263" s="7" t="n">
        <f>HYPERLINK("https://www.somogyi.hu/data/img/product_main_images/small/18577.jpg","https://www.somogyi.hu/data/img/product_main_images/small/18577.jpg")</f>
        <v>0.0</v>
      </c>
      <c r="F263" s="2" t="inlineStr">
        <is>
          <t>5999084965952</t>
        </is>
      </c>
      <c r="G263" s="4" t="inlineStr">
        <is>
          <t>Szeretné, hogy ételei hosszabb ideig frissek és ízletesek maradjanak? A Home HGF28500 vákuumfólia tekercs segítségével könnyedén megőrizheti élelmiszerei eredeti ízét és aromáját.
A Home HGF28500 vákuumfólia tekercsek kompatibilisek a Home HGFH10 és Home HGFH01 vákuumos fóliahegesztőkkel, különösen jól használhatók a HGFH10 belső tartójával. Ezek a tekercsek kiválóan alkalmasak az élelmiszerek frissességének megőrzésére, hiszen élelmiszer-biztonságos anyagból készültek, káros vegyszerek nélkül. Ez garantálja, hogy az ételek hosszabb ideig frissek és ízletesek maradjanak.
A tekercsek mérete 28x500 cm, így nagy mennyiségű élelmiszer tárolására is alkalmasak. Egy csomagban két tekercs található, ami hosszú távú megoldást nyújt a vákuumcsomagoláshoz. Az átlátszó szín lehetővé teszi, hogy könnyedén látható legyen a zacskó tartalma, így átláthatóbbá teszi a tárolást. A PE+szilikon anyagból készült vákuumfólia rendkívül tartós és megbízható.
A Home HGF28500 vákuumfólia tekercsek mikrózhatók és fagyaszthatók, így sokféle tárolási igényt kielégítenek. Legyen szó friss ételekről vagy maradékokról, ezek a tekercsek minden helyzetben megállják a helyüket.
Ne habozzon, rendeljen most a Home HGF28500 vákuumfólia tekercset, és biztosítsa ételei hosszan tartó frissességét és ízét!</t>
        </is>
      </c>
    </row>
    <row r="264">
      <c r="A264" s="3" t="inlineStr">
        <is>
          <t>VS120W</t>
        </is>
      </c>
      <c r="B264" s="2" t="inlineStr">
        <is>
          <t>Gorenje VS120W vákuumcsomagoló, 120W, kábeltartó</t>
        </is>
      </c>
      <c r="C264" s="1" t="n">
        <v>27290.0</v>
      </c>
      <c r="D264" s="7" t="n">
        <f>HYPERLINK("https://www.somogyi.hu/product/gorenje-vs120w-vakuumcsomagolo-120w-kabeltarto-vs120w-17190","https://www.somogyi.hu/product/gorenje-vs120w-vakuumcsomagolo-120w-kabeltarto-vs120w-17190")</f>
        <v>0.0</v>
      </c>
      <c r="E264" s="7" t="n">
        <f>HYPERLINK("https://www.somogyi.hu/data/img/product_main_images/small/17190.jpg","https://www.somogyi.hu/data/img/product_main_images/small/17190.jpg")</f>
        <v>0.0</v>
      </c>
      <c r="F264" s="2" t="inlineStr">
        <is>
          <t>3838782060854</t>
        </is>
      </c>
      <c r="G264" s="4" t="inlineStr">
        <is>
          <t>Szeretné, ha ételei tovább frissen maradnának? A Gorenje VS120W vákuumcsomagolóval ez könnyedén elérhető! 
Ez a 120 W teljesítményű készülék hatékonyan vákuumozza az ételeket, megőrizve azok frissességét és ízét hosszabb ideig. A készülék 230 V~ / 50 Hz tápellátással működik, így könnyedén használható bármelyik otthonában. Kompakt méretének (38 x 5,9 x 15,2 cm) és könnyű súlyának (mindössze 1,4 kg) köszönhetően a Gorenje VS120W vákuumcsomagoló könnyen tárolható és hordozható. Ezzel a vákuumcsomagolóval nemcsak helyet takaríthat meg a hűtőszekrényben, hanem jelentősen csökkentheti az élelmiszerpazarlást is.
Használja a VB28/300 Gorenje zacskót, vagy a VB12/55 Gorenje zacskót a tökéletes működés érdekében.
Ne hagyja ki ezt a lehetőséget! Vásároljon most a Gorenje VS120W vákuumcsomagolót, és tartsa ételeit tovább frissen és ízletesen!</t>
        </is>
      </c>
    </row>
    <row r="265">
      <c r="A265" s="3" t="inlineStr">
        <is>
          <t>VB28/300</t>
        </is>
      </c>
      <c r="B265" s="2" t="inlineStr">
        <is>
          <t>Gorenje VB28/300 zacskó, 2 literes, 3db, 28 x 300 cm</t>
        </is>
      </c>
      <c r="C265" s="1" t="n">
        <v>6290.0</v>
      </c>
      <c r="D265" s="7" t="n">
        <f>HYPERLINK("https://www.somogyi.hu/product/gorenje-vb28-300-zacsko-2-literes-3db-28-x-300-cm-vb28-300-17192","https://www.somogyi.hu/product/gorenje-vb28-300-zacsko-2-literes-3db-28-x-300-cm-vb28-300-17192")</f>
        <v>0.0</v>
      </c>
      <c r="E265" s="7" t="n">
        <f>HYPERLINK("https://www.somogyi.hu/data/img/product_main_images/small/17192.jpg","https://www.somogyi.hu/data/img/product_main_images/small/17192.jpg")</f>
        <v>0.0</v>
      </c>
      <c r="F265" s="2" t="inlineStr">
        <is>
          <t>3838942741166</t>
        </is>
      </c>
      <c r="G265" s="4" t="inlineStr">
        <is>
          <t>Gyakran találkozik azzal a problémával, hogy az ételek tárolás közben veszítenek frissességükből, illatukból és ízükből? A Gorenje vákuumcsomagoló géphez készült zacskói tökéletes megoldást nyújtanak az élelmiszerek frissességének megőrzésére! 
A 2 liter űrtartalmú, szag- és ízmentes vákuumzacskók segítségével az ételek hosszabb ideig élvezhetők és biztonságosan tárolhatók, anélkül, hogy bármilyen kellemetlen szag vagy íz alakulna ki. Ezek a strapabíró vákuumzacskók 28 x 300 cm méretben kaphatók, amelyek ideálisak különféle élelmiszerek – húsok, zöldségek, gyümölcsök vagy készételek – vákuumcsomagolásához és tárolásához. A csomag 3 darab, tartós és erős zacskót tartalmaz, melyek tökéletesen illeszkednek a Gorenje vákuumcsomagoló gépekhez. A zacskók nemcsak a tárolást könnyítik meg, de segítenek meghosszabbítani az ételek eltarthatóságát, így a pazarlás is jelentősen csökkenthető.
Válassza a Gorenje vákuumcsomagoló zacskókat, és őrizze meg ételei frissességét, minőségét és ízét hosszabb ideig! Tartsa élelmiszereit mindig kifogástalan állapotban – fektessen be a hatékony és higiénikus tárolásba már ma!</t>
        </is>
      </c>
    </row>
    <row r="266">
      <c r="A266" s="3" t="inlineStr">
        <is>
          <t>VS120W</t>
        </is>
      </c>
      <c r="B266" s="2" t="inlineStr">
        <is>
          <t>Gorenje VS120W vákuumcsomagoló, 120W, kábeltartó</t>
        </is>
      </c>
      <c r="C266" s="1" t="n">
        <v>19490.0</v>
      </c>
      <c r="D266" s="7" t="n">
        <f>HYPERLINK("https://www.somogyi.hu/product/gorenje-vs120w-vakuumcsomagolo-120w-kabeltarto-vs120w-17190","https://www.somogyi.hu/product/gorenje-vs120w-vakuumcsomagolo-120w-kabeltarto-vs120w-17190")</f>
        <v>0.0</v>
      </c>
      <c r="E266" s="7" t="n">
        <f>HYPERLINK("https://www.somogyi.hu/data/img/product_main_images/small/17190.jpg","https://www.somogyi.hu/data/img/product_main_images/small/17190.jpg")</f>
        <v>0.0</v>
      </c>
      <c r="F266" s="2" t="inlineStr">
        <is>
          <t>3838782060854</t>
        </is>
      </c>
      <c r="G266" s="4" t="inlineStr">
        <is>
          <t>Szeretné, ha ételei tovább frissen maradnának? A Gorenje VS120W vákuumcsomagolóval ez könnyedén elérhető! 
Ez a 120 W teljesítményű készülék hatékonyan vákuumozza az ételeket, megőrizve azok frissességét és ízét hosszabb ideig. A készülék 230 V~ / 50 Hz tápellátással működik, így könnyedén használható bármelyik otthonában. Kompakt méretének (38 x 5,9 x 15,2 cm) és könnyű súlyának (mindössze 1,4 kg) köszönhetően a Gorenje VS120W vákuumcsomagoló könnyen tárolható és hordozható. Ezzel a vákuumcsomagolóval nemcsak helyet takaríthat meg a hűtőszekrényben, hanem jelentősen csökkentheti az élelmiszerpazarlást is.
Használja a VB28/300 Gorenje zacskót, vagy a VB12/55 Gorenje zacskót a tökéletes működés érdekében.
Ne hagyja ki ezt a lehetőséget! Vásároljon most a Gorenje VS120W vákuumcsomagolót, és tartsa ételeit tovább frissen és ízletesen!</t>
        </is>
      </c>
    </row>
    <row r="267">
      <c r="A267" s="6" t="inlineStr">
        <is>
          <t xml:space="preserve">   Háztartási gép, eszköz / Gyümölcscentrifuga, citromfacsaró</t>
        </is>
      </c>
      <c r="B267" s="6" t="inlineStr">
        <is>
          <t/>
        </is>
      </c>
      <c r="C267" s="6" t="inlineStr">
        <is>
          <t/>
        </is>
      </c>
      <c r="D267" s="6" t="inlineStr">
        <is>
          <t/>
        </is>
      </c>
      <c r="E267" s="6" t="inlineStr">
        <is>
          <t/>
        </is>
      </c>
      <c r="F267" s="6" t="inlineStr">
        <is>
          <t/>
        </is>
      </c>
      <c r="G267" s="6" t="inlineStr">
        <is>
          <t/>
        </is>
      </c>
    </row>
    <row r="268">
      <c r="A268" s="3" t="inlineStr">
        <is>
          <t>JC805EII</t>
        </is>
      </c>
      <c r="B268" s="2" t="inlineStr">
        <is>
          <t>Gorenje JC805EII gyümölcscentrifuga, 800W, nagy betöltőnyílás, rozsdamentes acél filter, 1,5 literes, 2 fokozat</t>
        </is>
      </c>
      <c r="C268" s="1" t="n">
        <v>28990.0</v>
      </c>
      <c r="D268" s="7" t="n">
        <f>HYPERLINK("https://www.somogyi.hu/product/gorenje-jc805eii-gyumolcscentrifuga-800w-nagy-betoltonyilas-rozsdamentes-acel-filter-1-5-literes-2-fokozat-jc805eii-18028","https://www.somogyi.hu/product/gorenje-jc805eii-gyumolcscentrifuga-800w-nagy-betoltonyilas-rozsdamentes-acel-filter-1-5-literes-2-fokozat-jc805eii-18028")</f>
        <v>0.0</v>
      </c>
      <c r="E268" s="7" t="n">
        <f>HYPERLINK("https://www.somogyi.hu/data/img/product_main_images/small/18028.jpg","https://www.somogyi.hu/data/img/product_main_images/small/18028.jpg")</f>
        <v>0.0</v>
      </c>
      <c r="F268" s="2" t="inlineStr">
        <is>
          <t>3838942074820</t>
        </is>
      </c>
      <c r="G268" s="4" t="inlineStr">
        <is>
          <t>Szeretne friss gyümölcsleveket készíteni otthonában, könnyedén és gyorsan? A Gorenje JC805EII gyümölcscentrifuga a tökéletes választás! 
Ez a 800 W teljesítményű készülék két sebességfokozattal rendelkezik, így bármilyen gyümölcsből vagy zöldségből pillanatok alatt kivonhatja a levet. A nagy, 1,5 literes gyümölcshústartály elegendő kapacitást biztosít, hogy az egész család számára készítsen frissítő italokat.
A készülék 230 V~ / 50 Hz tápellátással működik, kompakt mérete (29 x 39,8 x 21 cm) és 3,7 kg-os súlya pedig lehetővé teszi, hogy könnyedén elférjen a konyhapulton vagy a szekrényben.
A Gorenje JC805EII gyümölcscentrifuga rozsdamentes acél és műanyag háza tartós és esztétikus, míg az XXL betöltőnyílás kényelmes és praktikus használatot biztosít. A rozsdamentes acél micro filter és a biztonsági zár gondoskodnak arról, hogy a készülék használata egyszerre legyen hatékony és biztonságos. A csúszásmentes gumitalp és a tisztító kefe pedig további kényelmi funkciókat nyújtanak.
Ne hagyja ki ezt a remek lehetőséget! Vásároljon most a Gorenje JC805EII gyümölcscentrifugát, és élvezze a friss gyümölcslevek élményét minden nap, egyszerűen és gyorsan!</t>
        </is>
      </c>
    </row>
    <row r="269">
      <c r="A269" s="6" t="inlineStr">
        <is>
          <t xml:space="preserve">   Háztartási gép, eszköz / Húsdaráló</t>
        </is>
      </c>
      <c r="B269" s="6" t="inlineStr">
        <is>
          <t/>
        </is>
      </c>
      <c r="C269" s="6" t="inlineStr">
        <is>
          <t/>
        </is>
      </c>
      <c r="D269" s="6" t="inlineStr">
        <is>
          <t/>
        </is>
      </c>
      <c r="E269" s="6" t="inlineStr">
        <is>
          <t/>
        </is>
      </c>
      <c r="F269" s="6" t="inlineStr">
        <is>
          <t/>
        </is>
      </c>
      <c r="G269" s="6" t="inlineStr">
        <is>
          <t/>
        </is>
      </c>
    </row>
    <row r="270">
      <c r="A270" s="3" t="inlineStr">
        <is>
          <t>HG HD 1300</t>
        </is>
      </c>
      <c r="B270" s="2" t="inlineStr">
        <is>
          <t>Home HG HD 1300 húsdaráló, teljesítmény 1300 W, darálási kapacitás 1600 g / perc, rozsdamentes kés, forgásirányváltás</t>
        </is>
      </c>
      <c r="C270" s="1" t="n">
        <v>25990.0</v>
      </c>
      <c r="D270" s="7" t="n">
        <f>HYPERLINK("https://www.somogyi.hu/product/home-hg-hd-1300-husdaralo-teljesitmeny-1300-w-daralasi-kapacitas-1600-g-perc-rozsdamentes-kes-forgasiranyvaltas-hg-hd-1300-16641","https://www.somogyi.hu/product/home-hg-hd-1300-husdaralo-teljesitmeny-1300-w-daralasi-kapacitas-1600-g-perc-rozsdamentes-kes-forgasiranyvaltas-hg-hd-1300-16641")</f>
        <v>0.0</v>
      </c>
      <c r="E270" s="7" t="n">
        <f>HYPERLINK("https://www.somogyi.hu/data/img/product_main_images/small/16641.jpg","https://www.somogyi.hu/data/img/product_main_images/small/16641.jpg")</f>
        <v>0.0</v>
      </c>
      <c r="F270" s="2" t="inlineStr">
        <is>
          <t>5999084946739</t>
        </is>
      </c>
      <c r="G270" s="4" t="inlineStr">
        <is>
          <t>Gondolt már arra, hogy mennyivel jobb lenne a frissen darált hús ételei elkészítéséhez? A Home HG HD 1300 húsdaráló a válasz erre az igényre, a konyhai kreativitás új dimenzióját kínálva. Ezzel az erőművel, melynek maximális teljesítménye 1300 W, a darálási kapacitása pedig lenyűgöző 1600 g/perc, pillanatok alatt elkészülhetnek a legfinomabb alapanyagok.
A húsdaráló 3 különböző rozsdamentes vágórostélyt tartalmaz: a 3 mm-es finom, az 5 mm-es normál és a 7 mm-es durva rostély segítségével könnyedén váltogathat a kívánt textúrák között. A rozsdamentes kés gondoskodik a precíz vágásról, míg az adagolótálca a hús egyszerű betöltését teszi lehetővé. Az extra tartozékok, mint a kolbásztöltő és kebbekészítő, újabb szintre emelhetik a konyhai kreativitást. A forgásirányváltási funkcióval a gép még sokoldalúbbá válik, és a csúszásmentes talpaknak köszönhetően mindig stabilan áll az asztalon.
Tegye gazdagabbá konyháját ezzel a lenyűgöző húsdarálóval, és élvezze a házi húskészítmények egyedülálló ízét és minőségét! Fedezze fel az igazi, otthoni ízek világát a Home HG HD 1300 húsdaráló segítségével!</t>
        </is>
      </c>
    </row>
    <row r="271">
      <c r="A271" s="3" t="inlineStr">
        <is>
          <t>MG1601W</t>
        </is>
      </c>
      <c r="B271" s="2" t="inlineStr">
        <is>
          <t>Gorenje MG1601W húsdaráló, 1600 W, 2,2 kg/perc kapacitás, 2 darálótárcsa, kétirányú forgás</t>
        </is>
      </c>
      <c r="C271" s="1" t="n">
        <v>30590.0</v>
      </c>
      <c r="D271" s="7" t="n">
        <f>HYPERLINK("https://www.somogyi.hu/product/gorenje-mg1601w-husdaralo-1600-w-2-2-kg-perc-kapacitas-2-daralotarcsa-ketiranyu-forgas-mg1601w-19045","https://www.somogyi.hu/product/gorenje-mg1601w-husdaralo-1600-w-2-2-kg-perc-kapacitas-2-daralotarcsa-ketiranyu-forgas-mg1601w-19045")</f>
        <v>0.0</v>
      </c>
      <c r="E271" s="7" t="n">
        <f>HYPERLINK("https://www.somogyi.hu/data/img/product_main_images/small/19045.jpg","https://www.somogyi.hu/data/img/product_main_images/small/19045.jpg")</f>
        <v>0.0</v>
      </c>
      <c r="F271" s="2" t="inlineStr">
        <is>
          <t>3838782769665</t>
        </is>
      </c>
      <c r="G271" s="4" t="inlineStr">
        <is>
          <t>Szeretne gyorsan és egyszerűen friss, házi darált húst készíteni? A Gorenje MG1601W húsdaráló kiváló választás mindazoknak, akik szeretnék otthon, frissen elkészíteni a legkülönbözőbb húsételeket, kolbászokat vagy akár zöldséges keverékeket. 
Ez a nagy teljesítményű, 1600 W-oshúsdaráló pillanatok alatt elvégzi a munkát, megkönnyítve és felgyorsítva a konyhai előkészületeket. Az erőteljes motor, a 2,2 kg/perces darálási kapacitás és a praktikus funkciók révén tökéletesen alkalmas akár nagyobb mennyiségek feldolgozására is.
Erőteljes teljesítmény és gyors feldolgozás
A 1600 W-os motor garantálja, hogy a húsdaráló könnyedén megbirkózzon a legkeményebb húsokkal is. A 2,2 kg/perces kapacitás lehetővé teszi, hogy gyorsan nagy mennyiségű húst dolgozzon fel, így ideális választás a nagyobb családi összejövetelekhez vagy akár házi készítésű kolbászok, fasírtok elkészítéséhez is. A két különböző darálótárcsa(3 mm-es és 8 mm-es) segítségével különféle darálási finomságokat érhet el, attól függően, hogy milyen ételt készít.
Kétirányú forgás és praktikus funkciók
A kétirányú forgás funkció különösen hasznos, ha a húsdarálóban elakad egy keményebb húsdarab. Ezzel a funkcióval azonnal visszafordíthatja a darálás irányát, és elkerülheti a gép elakadását. A húsdaráló biztonsági funkciói – mint a túlmelegedés elleni védelem, a túlterhelés elleni védelem és az azonnali motorleállítás – garantálják a gép hosszú élettartamát és biztonságos működését, még akkor is, ha intenzíven használja.
Stabilitás és könnyű tisztítás
A készülék alján található gumilábak biztosítják a maximális stabilitást működés közben, így nem kell aggódnia, hogy a húsdaráló elmozdul vagy instabillá válik. A húsdaráló könnyen tisztítható kialakítása biztosítja, hogy a főzés után gyorsan és egyszerűen elmoshassa a tartozékokat, így több idő marad az ételkészítésre és kevesebb a takarításra. A 110 cm-es csatlakozókábel elegendő hosszúságú ahhoz, hogy kényelmesen használhassa a konyhában.
Kiegészítők és tartozékok a sokoldalúságért
A Gorenje MG1601W húsdarálóhoz tartozik egy tömő eszköz, amely megkönnyíti a húsok adagolását, valamint két különböző méretű darálótárcsa (3 mm-es és 8 mm-es), így a darált hús állagát az étel igényeinek megfelelően állíthatja be. Ezek a tartozékok lehetővé teszik a sokoldalú felhasználást, legyen szó hamburgerről, kolbászról, fasírtokról vagy bármilyen egyéb ételről, amely darált húst igényel.
Akár fasírtot, hamburgert vagy házi készítésű kolbászt készít, a Gorenje MG1601W húsdaráló a tökéletes segítő a konyhában. Nagy teljesítményével, gyors feldolgozási sebességével és praktikus funkcióival időt és energiát spórolhat meg. Ne várjon tovább, és szerezze be ezt a megbízható, könnyen használható készüléket, amely megkönnyíti a főzést és garantálja a tökéletes végeredményt minden alkalommal!</t>
        </is>
      </c>
    </row>
    <row r="272">
      <c r="A272" s="6" t="inlineStr">
        <is>
          <t xml:space="preserve">   Háztartási gép, eszköz / Kenyérpirító</t>
        </is>
      </c>
      <c r="B272" s="6" t="inlineStr">
        <is>
          <t/>
        </is>
      </c>
      <c r="C272" s="6" t="inlineStr">
        <is>
          <t/>
        </is>
      </c>
      <c r="D272" s="6" t="inlineStr">
        <is>
          <t/>
        </is>
      </c>
      <c r="E272" s="6" t="inlineStr">
        <is>
          <t/>
        </is>
      </c>
      <c r="F272" s="6" t="inlineStr">
        <is>
          <t/>
        </is>
      </c>
      <c r="G272" s="6" t="inlineStr">
        <is>
          <t/>
        </is>
      </c>
    </row>
    <row r="273">
      <c r="A273" s="3" t="inlineStr">
        <is>
          <t>HGKP22LCD</t>
        </is>
      </c>
      <c r="B273" s="2" t="inlineStr">
        <is>
          <t>Home HGKP22LCD kenyérpirító, 950 W-os, két szeletes, LCD kijelző, 7 fokozat, újramelegítő és kiolvasztás funkciók</t>
        </is>
      </c>
      <c r="C273" s="1" t="n">
        <v>14190.0</v>
      </c>
      <c r="D273" s="7" t="n">
        <f>HYPERLINK("https://www.somogyi.hu/product/home-hgkp22lcd-kenyerpirito-950-w-os-ket-szeletes-lcd-kijelzo-7-fokozat-ujramelegito-es-kiolvasztas-funkciok-hgkp22lcd-18855","https://www.somogyi.hu/product/home-hgkp22lcd-kenyerpirito-950-w-os-ket-szeletes-lcd-kijelzo-7-fokozat-ujramelegito-es-kiolvasztas-funkciok-hgkp22lcd-18855")</f>
        <v>0.0</v>
      </c>
      <c r="E273" s="7" t="n">
        <f>HYPERLINK("https://www.somogyi.hu/data/img/product_main_images/small/18855.jpg","https://www.somogyi.hu/data/img/product_main_images/small/18855.jpg")</f>
        <v>0.0</v>
      </c>
      <c r="F273" s="2" t="inlineStr">
        <is>
          <t>5999084968618</t>
        </is>
      </c>
      <c r="G273" s="4" t="inlineStr">
        <is>
          <t>Szeretne egy kenyérpirítót, amely minden reggelt tökéletessé varázsol? Ismerje meg a Home HGKP22LCD kenyérpirítót, amely 950 W teljesítményével és két szelet kenyér egyidejű pirításának lehetőségével gyors és egyenletes eredményt biztosít. 
Az LCD kijelző segítségével egyszerűen nyomon követheti a kívánt pirítási fokozatot, amely hét különböző szintet kínál, így mindig az Ön ízlésének megfelelően készítheti el a pirítóst. Az automatikus középre igazítás és a kenyér beakadás gátló funkciók garantálják a zökkenőmentes működést.
A kenyér magasra emelő rendszerének köszönhetően könnyedén kiveheti a kisebb szeleteket is. Az újramelegítő és kiolvasztás funkciók pedig még sokoldalúbbá teszik ezt a kenyérpirítót. A tartozék zsemlemelegítő praktikus kiegészítő, mellyel akár friss zsömléket is melegíthet. A CANCEL gomb segítségével bármikor megszakíthatja a pirítást.
A kenyérpirító könnyen tisztítható morzsatálcával rendelkezik, amely egyszerűvé teszi a tisztítást. A vezetéktároló pedig segít a konyhapult rendezett tartásában. A készülék tápkábele 75 cm hosszú, és 220-240V 50/60Hz tápellátással működik. Kompakt mérete (16,8 x 18 x 28,5 cm) ideális választássá teszi minden konyhába.
Ne hagyja ki ezt a kiváló kenyérpirítót! Rendelje meg a Home HGKP22LCD kenyérpirítót még ma, és élvezze a tökéletes pirítósokat minden reggel!</t>
        </is>
      </c>
    </row>
    <row r="274">
      <c r="A274" s="3" t="inlineStr">
        <is>
          <t>HG KP 42</t>
        </is>
      </c>
      <c r="B274" s="2" t="inlineStr">
        <is>
          <t>Home HG KP 42 4 szeletes kenyérpirító, 1400 W, cooltouch, 7 fokozat, zsemlemelegítő, fehér</t>
        </is>
      </c>
      <c r="C274" s="1" t="n">
        <v>11690.0</v>
      </c>
      <c r="D274" s="7" t="n">
        <f>HYPERLINK("https://www.somogyi.hu/product/home-hg-kp-42-4-szeletes-kenyerpirito-1400-w-cooltouch-7-fokozat-zsemlemelegito-feher-hg-kp-42-18199","https://www.somogyi.hu/product/home-hg-kp-42-4-szeletes-kenyerpirito-1400-w-cooltouch-7-fokozat-zsemlemelegito-feher-hg-kp-42-18199")</f>
        <v>0.0</v>
      </c>
      <c r="E274" s="7" t="n">
        <f>HYPERLINK("https://www.somogyi.hu/data/img/product_main_images/small/18199.jpg","https://www.somogyi.hu/data/img/product_main_images/small/18199.jpg")</f>
        <v>0.0</v>
      </c>
      <c r="F274" s="2" t="inlineStr">
        <is>
          <t>5999084962210</t>
        </is>
      </c>
      <c r="G274" s="4" t="inlineStr">
        <is>
          <t>Szeretne könnyedén tökéletes reggeliket készíteni? A Home HG KP 42 Kenyérpirító a konyha elengedhetetlen kelléke lehet! Ez az 1400 W teljesítményű kenyérpirító lehetővé teszi, hogy egyszerre négy szelet kenyeret pirítson, így gyorsan és hatékonyan készülhet el a reggeli.
A kenyérpirító "intelligens pirítás" funkciója garantálja, hogy minden szelet kenyér egyenletesen és tökéletesen piruljon. Az automatikus középre igazítás és a kenyér beakadás gátló funkciók biztosítják, hogy a kenyér ne ragadjon be, és mindig egyenletesen piruljon.
A 7 fokozatban állítható pirítási szintekkel személyre szabhatja a pirítás mértékét, hogy mindig az Ön ízlésének megfelelő legyen az eredmény. A "CANCEL" gombnak köszönhetően bármikor megszakíthatja a pirítási folyamatot, ha szükséges.
A kenyérpirító további kényelmi funkciói közé tartozik az újramelegítő és kiolvasztás funkciók, valamint a tartozék zsemlemelegítő, amelyek még többféle lehetőséget biztosítanak a reggeli elkészítéséhez. A könnyen tisztítható morzsatálcának köszönhetően a kenyérpirító tisztántartása is egyszerű. Kompakt méretei (38,2 x 14,4 x 17,2 cm) lehetővé teszik, hogy akár a legkisebb konyhákban is elférjen.
Ne hagyja ki ezt a lehetőséget! Kényeztesse magát és családját minden reggel a Home HG KP 42 Kenyérpirítóval, amely gyors, egyenletes pirítást és könnyű tisztítást kínál a tökéletes reggelihez.</t>
        </is>
      </c>
    </row>
    <row r="275">
      <c r="A275" s="3" t="inlineStr">
        <is>
          <t>HG KP 01</t>
        </is>
      </c>
      <c r="B275" s="2" t="inlineStr">
        <is>
          <t>Home HG KP 01 kenyérpirító, teljesítmény 750 W, 7 fokozat, STOP gomb, egyszerre két szelet kenyér pirítható, fehér</t>
        </is>
      </c>
      <c r="C275" s="1" t="n">
        <v>6490.0</v>
      </c>
      <c r="D275" s="7" t="n">
        <f>HYPERLINK("https://www.somogyi.hu/product/home-hg-kp-01-kenyerpirito-teljesitmeny-750-w-7-fokozat-stop-gomb-egyszerre-ket-szelet-kenyer-pirithato-feher-hg-kp-01-14966","https://www.somogyi.hu/product/home-hg-kp-01-kenyerpirito-teljesitmeny-750-w-7-fokozat-stop-gomb-egyszerre-ket-szelet-kenyer-pirithato-feher-hg-kp-01-14966")</f>
        <v>0.0</v>
      </c>
      <c r="E275" s="7" t="n">
        <f>HYPERLINK("https://www.somogyi.hu/data/img/product_main_images/small/14966.jpg","https://www.somogyi.hu/data/img/product_main_images/small/14966.jpg")</f>
        <v>0.0</v>
      </c>
      <c r="F275" s="2" t="inlineStr">
        <is>
          <t>5999084930004</t>
        </is>
      </c>
      <c r="G275" s="4" t="inlineStr">
        <is>
          <t>Egy megbízható kenyérpirítót keres, amellyel minden reggel tökéletes pirítóst készíthet? A Home HG KP 01 kenyérpirító az ideális választás! 
Ezt a 750 W teljesítményű készüléket úgy tervezték, hogy egyszerre két szelet kenyeret pirítson, így időt és energiát takarít meg. A 7 fokozatban állítható pirítási beállítás lehetővé teszi, hogy mindig a kívánt mértékben pirítsa meg a kenyeret, legyen az enyhén aranybarna vagy ropogósra sült.
A STOP gomb segítségével bármikor megszakíthatja a pirítást, így tökéletes kontrollt biztosít minden szelet felett. A könnyen tisztítható morzsatálca révén a készülék karbantartása egyszerű és gyors. A 85 cm hosszú csatlakozókábel és a kompakt méret (23 x 15,5 x 14,5 cm) lehetővé teszi, hogy a kenyérpirító könnyedén elférjen a konyhapulton vagy a szekrényben.
Ne hagyja ki ezt a remek lehetőséget! Szerezze be a Home HG KP 01 kenyérpirítót, és élvezze minden reggel a tökéletesen pirított kenyér ízét!</t>
        </is>
      </c>
    </row>
    <row r="276">
      <c r="A276" s="3" t="inlineStr">
        <is>
          <t>HG KP 22</t>
        </is>
      </c>
      <c r="B276" s="2" t="inlineStr">
        <is>
          <t>Home HG KP 22 2 szeletes kenyérpirító, 750W, cooltouch, 7 fokozat, fehér</t>
        </is>
      </c>
      <c r="C276" s="1" t="n">
        <v>8090.0</v>
      </c>
      <c r="D276" s="7" t="n">
        <f>HYPERLINK("https://www.somogyi.hu/product/home-hg-kp-22-2-szeletes-kenyerpirito-750w-cooltouch-7-fokozat-feher-hg-kp-22-18258","https://www.somogyi.hu/product/home-hg-kp-22-2-szeletes-kenyerpirito-750w-cooltouch-7-fokozat-feher-hg-kp-22-18258")</f>
        <v>0.0</v>
      </c>
      <c r="E276" s="7" t="n">
        <f>HYPERLINK("https://www.somogyi.hu/data/img/product_main_images/small/18258.jpg","https://www.somogyi.hu/data/img/product_main_images/small/18258.jpg")</f>
        <v>0.0</v>
      </c>
      <c r="F276" s="2" t="inlineStr">
        <is>
          <t>5999084962807</t>
        </is>
      </c>
      <c r="G276" s="4" t="inlineStr">
        <is>
          <t>Szeretne könnyedén tökéletes reggeliket készíteni? A Home HG KP 22 Kenyérpirító a konyha elengedhetetlen kelléke lehet! Ez a 750 W teljesítményű kenyérpirító lehetővé teszi, hogy egyszerre két szelet kenyeret pirítson, így gyorsan és hatékonyan készülhet el a reggeli.
A kenyérpirító "intelligens pirítás" funkciója garantálja, hogy minden szelet kenyér egyenletesen és tökéletesen piruljon. Az automatikus középre igazítás és a kenyér beakadás gátló funkciók biztosítják, hogy a kenyér ne ragadjon be, és mindig egyenletesen piruljon.
A 7 fokozatban állítható pirítási szintekkel személyre szabhatja a pirítás mértékét, hogy mindig az Ön ízlésének megfelelő legyen az eredmény. A "CANCEL" gombnak köszönhetően bármikor megszakíthatja a pirítási folyamatot, ha szükséges.
A kenyérpirító további kényelmi funkciói közé tartozik az újramelegítő és kiolvasztás funkciók, valamint a tartozék zsemlemelegítő, amelyek még többféle lehetőséget biztosítanak a reggeli elkészítéséhez. A könnyen tisztítható morzsatálcának köszönhetően a kenyérpirító tisztántartása is egyszerű. Kompakt méretei (26 x 14,4 x 17,2 cm) lehetővé teszik, hogy akár a legkisebb konyhákban is elférjen.
Ne hagyja ki ezt a lehetőséget! Kényeztesse magát és családját minden reggel a Home HG KP 22 Kenyérpirítóval, amely gyors, egyenletes pirítást és könnyű tisztítást kínál a tökéletes reggelihez.</t>
        </is>
      </c>
    </row>
    <row r="277">
      <c r="A277" s="3" t="inlineStr">
        <is>
          <t>MT-RP2L09W</t>
        </is>
      </c>
      <c r="B277" s="2" t="inlineStr">
        <is>
          <t>Midea MT-RP2L09W kenyérpirító, max. 950 W, 6-fokozatú időzítés, visszajelző fények, vezetéktároló, fehér-fekete</t>
        </is>
      </c>
      <c r="C277" s="1" t="n">
        <v>8990.0</v>
      </c>
      <c r="D277" s="7" t="n">
        <f>HYPERLINK("https://www.somogyi.hu/product/midea-mt-rp2l09w-kenyerpirito-max-950-w-6-fokozatu-idozites-visszajelzo-fenyek-vezetektarolo-feher-fekete-mt-rp2l09w-17806","https://www.somogyi.hu/product/midea-mt-rp2l09w-kenyerpirito-max-950-w-6-fokozatu-idozites-visszajelzo-fenyek-vezetektarolo-feher-fekete-mt-rp2l09w-17806")</f>
        <v>0.0</v>
      </c>
      <c r="E277" s="7" t="n">
        <f>HYPERLINK("https://www.somogyi.hu/data/img/product_main_images/small/17806.jpg","https://www.somogyi.hu/data/img/product_main_images/small/17806.jpg")</f>
        <v>0.0</v>
      </c>
      <c r="F277" s="2" t="inlineStr">
        <is>
          <t>6939962708485</t>
        </is>
      </c>
      <c r="G277" s="4" t="inlineStr">
        <is>
          <t>Szeretne egy kenyérpirítót, amely egyszerre biztonságos és sokoldalú is? A Midea MT-RP2L09W kenyérpirító ezeket kínálja Önnek! 
A hűvös érintésű műanyag külső burkolatnak köszönhetően a készülék használata biztonságos, még akkor is, ha kisgyermekek vannak a háztartásban. A stop, újramelegítés és kiolvasztás funkciók gombnyomásra elérhetők, a visszajelző fények pedig mindig tájékoztatják Önt a készülék állapotáról.
A kenyérpirító 6-fokozatú időzítéssel rendelkezik, így mindig a kívánt mértékben piríthatja meg a kenyeret. Az elektromos pirítás-megszakítás funkció biztosítja, hogy bármikor megszakíthassa a folyamatot, ha szükséges. A kenyeret középre igazító mechanizmus és a kenyérbeakadás-gátló technológia garantálja a tökéletes pirítást minden szeletnél.
A könnyen eltávolítható morzsatálca és a csúszásmentes talpak megkönnyítik a készülék tisztítását és használatát, míg a vezetéktároló segít rendben tartani a konyhapultot. Teljesítménye 800-950 W között van, így gyorsan és hatékonyan készítheti el a reggelijét.
Ne várjon tovább! Vásároljon most Midea MT-RP2L09W kenyérpirítót, és élvezze a tökéletesen pirított kenyér ízét minden reggel, biztonságosan és kényelmesen!</t>
        </is>
      </c>
    </row>
    <row r="278">
      <c r="A278" s="6" t="inlineStr">
        <is>
          <t xml:space="preserve">   Háztartási gép, eszköz / Konyhai mérleg</t>
        </is>
      </c>
      <c r="B278" s="6" t="inlineStr">
        <is>
          <t/>
        </is>
      </c>
      <c r="C278" s="6" t="inlineStr">
        <is>
          <t/>
        </is>
      </c>
      <c r="D278" s="6" t="inlineStr">
        <is>
          <t/>
        </is>
      </c>
      <c r="E278" s="6" t="inlineStr">
        <is>
          <t/>
        </is>
      </c>
      <c r="F278" s="6" t="inlineStr">
        <is>
          <t/>
        </is>
      </c>
      <c r="G278" s="6" t="inlineStr">
        <is>
          <t/>
        </is>
      </c>
    </row>
    <row r="279">
      <c r="A279" s="3" t="inlineStr">
        <is>
          <t>HG M 15</t>
        </is>
      </c>
      <c r="B279" s="2" t="inlineStr">
        <is>
          <t>Home HG M 15 konyhai mérleg, méréshatár 15 kg, mérési pontosság: 1 g, tára funkció, világító piros LED kijelzővel, automatikus kikapcsolás,</t>
        </is>
      </c>
      <c r="C279" s="1" t="n">
        <v>6990.0</v>
      </c>
      <c r="D279" s="7" t="n">
        <f>HYPERLINK("https://www.somogyi.hu/product/home-hg-m-15-konyhai-merleg-mereshatar-15-kg-meresi-pontossag-1-g-tara-funkcio-vilagito-piros-led-kijelzovel-automatikus-kikapcsolas-hg-m-15-16640","https://www.somogyi.hu/product/home-hg-m-15-konyhai-merleg-mereshatar-15-kg-meresi-pontossag-1-g-tara-funkcio-vilagito-piros-led-kijelzovel-automatikus-kikapcsolas-hg-m-15-16640")</f>
        <v>0.0</v>
      </c>
      <c r="E279" s="7" t="n">
        <f>HYPERLINK("https://www.somogyi.hu/data/img/product_main_images/small/16640.jpg","https://www.somogyi.hu/data/img/product_main_images/small/16640.jpg")</f>
        <v>0.0</v>
      </c>
      <c r="F279" s="2" t="inlineStr">
        <is>
          <t>5999084946722</t>
        </is>
      </c>
      <c r="G279" s="4" t="inlineStr">
        <is>
          <t>Szeretne pontos és könnyen használható konyhai mérleget a mindennapi főzéshez és sütéshez? A Home HG M 15 konyhai mérleg az Ön ideális társa lesz a konyhában! 
Ezzel a mérleggel akár 15 kg-ig mérheti az alapanyagokat, 1 grammos pontossággal. A világító piros LED kijelzőnek köszönhetően a mérési eredmények mindig jól láthatók, még gyenge fényviszonyok között is. A mérleg praktikus tára funkcióval rendelkezik, így könnyedén mérhet több összetevőt egyetlen edényben. A többféle mértékegység (kg, lb, g) közötti váltás egyszerűen megoldható, hogy a különböző receptekhez igazodjon. A csúszásmentes talpak stabilan tartják a mérleget a konyhapulton, míg az automatikus kikapcsolás funkció segít megőrizni az elemek élettartamát.
Az alacsony tápfeszültségjelzés és a túlterhelésjelzés biztosítják a zavartalan működést, figyelmeztetve Önt, ha az elemek cserére szorulnak vagy a mérleg túl van terhelve. A Home HG M 15 konyhai mérleg 2 x 1,5 V (AAA) elemmel működik, melyek nem tartozékai a csomagnak. Kompakt méretének (27 x 25 x 1,8 cm) köszönhetően könnyen tárolható és használható.
Ne hagyja ki ezt a praktikus és megbízható konyhai eszközt! Szerezze be a Home HG M 15 konyhai mérleget, és tegye egyszerűbbé és pontosabbá a főzést és sütést minden nap!</t>
        </is>
      </c>
    </row>
    <row r="280">
      <c r="A280" s="3" t="inlineStr">
        <is>
          <t>HG M 05</t>
        </is>
      </c>
      <c r="B280" s="2" t="inlineStr">
        <is>
          <t>Home HG M 05 konyhai mérleg, méréshatár 5 kg, mérési pontosság 1 g, tára funkció, automatikus kikapcsolás</t>
        </is>
      </c>
      <c r="C280" s="1" t="n">
        <v>4590.0</v>
      </c>
      <c r="D280" s="7" t="n">
        <f>HYPERLINK("https://www.somogyi.hu/product/home-hg-m-05-konyhai-merleg-mereshatar-5-kg-meresi-pontossag-1-g-tara-funkcio-automatikus-kikapcsolas-hg-m-05-16639","https://www.somogyi.hu/product/home-hg-m-05-konyhai-merleg-mereshatar-5-kg-meresi-pontossag-1-g-tara-funkcio-automatikus-kikapcsolas-hg-m-05-16639")</f>
        <v>0.0</v>
      </c>
      <c r="E280" s="7" t="n">
        <f>HYPERLINK("https://www.somogyi.hu/data/img/product_main_images/small/16639.jpg","https://www.somogyi.hu/data/img/product_main_images/small/16639.jpg")</f>
        <v>0.0</v>
      </c>
      <c r="F280" s="2" t="inlineStr">
        <is>
          <t>5999084946715</t>
        </is>
      </c>
      <c r="G280" s="4" t="inlineStr">
        <is>
          <t>Gondolt már arra, hogy egy pontos és megbízható konyhai mérleg mennyire megkönnyíthetné a sütést és főzést? A Home HG M 05 konyhai mérleg a tökéletes eszköz az Ön számára! 
Ez a mérleg 5 kg-os méréshatárral és 1 g-os pontossággal rendelkezik, így a legkisebb összetevőket is pontosan kimérheti. A tára funkció segítségével könnyedén nullázhatja le a mérleget, hogy több összetevőt is mérhessen egyetlen edényben. A Home HG M 05 konyhai mérleg különböző mértékegységeket kínál: gramm/uncia, font; víz ml/csésze; tej ml/csésze. Ez a sokoldalúság biztosítja, hogy bármilyen receptet könnyedén elkészíthessen. A csúszásmentes talpak stabilitást nyújtanak, míg az automatikus kikapcsolás funkció segít megőrizni az elemek élettartamát.
Az alacsony tápfeszültségjelzés és a túlterhelésjelzés figyelmeztetik Önt, ha elemet kell cserélni vagy ha a mérleg túlterhelt. A készülék 2 x 1,5 V (AAA) elemmel működik, melyek nem tartozékai a csomagnak. Kompakt méretének (20 x 18 x 1,7 cm) köszönhetően könnyedén tárolható és használható, még a legkisebb konyhákban is.
Ne hagyja ki ezt a kiváló konyhai segédeszközt! Vásárolja meg a Home HG M 05 konyhai mérleget, és élvezze a pontos és egyszerű mérést minden főzés és sütés alkalmával!</t>
        </is>
      </c>
    </row>
    <row r="281">
      <c r="A281" s="3" t="inlineStr">
        <is>
          <t>10-274-001</t>
        </is>
      </c>
      <c r="B281" s="2" t="inlineStr">
        <is>
          <t>NAVA 10-274-001 Imperial digitális konyhai mérleg és mérőkancsó, 1,5l, 5kg</t>
        </is>
      </c>
      <c r="C281" s="1" t="n">
        <v>7190.0</v>
      </c>
      <c r="D281" s="7" t="n">
        <f>HYPERLINK("https://www.somogyi.hu/product/nava-10-274-001-imperial-digitalis-konyhai-merleg-es-merokancso-1-5l-5kg-10-274-001-18348","https://www.somogyi.hu/product/nava-10-274-001-imperial-digitalis-konyhai-merleg-es-merokancso-1-5l-5kg-10-274-001-18348")</f>
        <v>0.0</v>
      </c>
      <c r="E281" s="7" t="n">
        <f>HYPERLINK("https://www.somogyi.hu/data/img/product_main_images/small/18348.jpg","https://www.somogyi.hu/data/img/product_main_images/small/18348.jpg")</f>
        <v>0.0</v>
      </c>
      <c r="F281" s="2" t="inlineStr">
        <is>
          <t>5205746175592</t>
        </is>
      </c>
      <c r="G281" s="4" t="inlineStr">
        <is>
          <t>Ön is szeretné, ha a pontos mérések gyerekjátékká válnának a konyhában? A NAVA 10-274-001 Imperial digitális konyhai mérleg és mérőkancsóval egyszerűvé és pontosabbá teheti a főzést és sütést. 
Az intuitív LED kijelző és a kancsó oldalán található mérőskálával - amely ml, oz és csésze egységeket is megjelenít - minden hozzávalót a legnagyobb precizitással mérhet le.
A mérőkancsó 1,5 literes maximális kapacitásával és 50 ml-es mérési fokozataival ideális a különféle receptekhez. A -20°C-tól 60°C-ig terjedő hőmérsékleti tartományának köszönhetően a kancsó kiválóan alkalmazható hűtött vagy meleg hozzávalók mérésére is. A mérleg 5 kg-ig terhelhető, és három különböző súlymód közül választhat: gramm, uncia, milliliter. A tára funkcióval egyszerűen levonhatja az edény súlyát, így csak a hozzávalók tömegét méri. Az automatikus kikapcsolás funkcióval két perc inaktivitás után a készülék energiatakarékos módba lép, az elemmerülés és túlterhelés jelző pedig gondoskodik a mérleg hosszú élettartamáról. A csúszásmentes talp garantálja a stabilitást a használat során. Kérjük vegye figyelembe, hogy a 2x1,5V AAA elemeket külön kell megvásárolni.
Tegye hatékonyabbá és élvezetesebbé a konyhai munkát a NAVA 10-274-001 Imperial digitális konyhai mérleg és mérőkancsó segítségével.</t>
        </is>
      </c>
    </row>
    <row r="282">
      <c r="A282" s="6" t="inlineStr">
        <is>
          <t xml:space="preserve">   Háztartási gép, eszköz / Mikrohullámú sütő, minisütő</t>
        </is>
      </c>
      <c r="B282" s="6" t="inlineStr">
        <is>
          <t/>
        </is>
      </c>
      <c r="C282" s="6" t="inlineStr">
        <is>
          <t/>
        </is>
      </c>
      <c r="D282" s="6" t="inlineStr">
        <is>
          <t/>
        </is>
      </c>
      <c r="E282" s="6" t="inlineStr">
        <is>
          <t/>
        </is>
      </c>
      <c r="F282" s="6" t="inlineStr">
        <is>
          <t/>
        </is>
      </c>
      <c r="G282" s="6" t="inlineStr">
        <is>
          <t/>
        </is>
      </c>
    </row>
    <row r="283">
      <c r="A283" s="3" t="inlineStr">
        <is>
          <t>HG MH 21</t>
        </is>
      </c>
      <c r="B283" s="2" t="inlineStr">
        <is>
          <t>Home HG MH 21 mikrohullámú sütő, 700 W, 20 literes, 5 fokozatban állítható teljesítmény, fehér</t>
        </is>
      </c>
      <c r="C283" s="1" t="n">
        <v>25390.0</v>
      </c>
      <c r="D283" s="7" t="n">
        <f>HYPERLINK("https://www.somogyi.hu/product/home-hg-mh-21-mikrohullamu-suto-700-w-20-literes-5-fokozatban-allithato-teljesitmeny-feher-hg-mh-21-15973","https://www.somogyi.hu/product/home-hg-mh-21-mikrohullamu-suto-700-w-20-literes-5-fokozatban-allithato-teljesitmeny-feher-hg-mh-21-15973")</f>
        <v>0.0</v>
      </c>
      <c r="E283" s="7" t="n">
        <f>HYPERLINK("https://www.somogyi.hu/data/img/product_main_images/small/15973.jpg","https://www.somogyi.hu/data/img/product_main_images/small/15973.jpg")</f>
        <v>0.0</v>
      </c>
      <c r="F283" s="2" t="inlineStr">
        <is>
          <t>5999084940072</t>
        </is>
      </c>
      <c r="G283" s="4" t="inlineStr">
        <is>
          <t>Gondolt már arra, milyen gyorsan és egyszerűen készíthetne ízletes ételeket egy sokoldalú mikrohullámú sütővel? A Home HG MH 21 mikrohullámú sütő a tökéletes megoldás! 
Ez a készülék 700 W mikrohullámú teljesítménnyel rendelkezik, amelyet öt fokozatban állíthat be, hogy minden ételhez megtalálja az ideális beállítást. A 20 literes kapacitás elegendő helyet biztosít, hogy nagyobb adagokat is könnyedén elkészíthessen.
A Home HG MH 21 mikrohullámú sütő kiolvasztás funkcióval is rendelkezik, amely lehetővé teszi a fagyasztott ételek gyors és hatékony felolvasztását. Az akár 35 perces időzítő segítségével pontosan beállíthatja a kívánt főzési időt, így soha nem kell aggódnia az ételek túlfőzése miatt.
A készülék kényelmes, nagyméretű fogantyúval van ellátva, ami megkönnyíti az ajtó nyitását és zárását. Kompakt méretének (440 x 259 x 359 mm) köszönhetően könnyedén elfér a konyhapulton, mégis elegendő belső teret biztosít a mindennapi használathoz.
Ne hagyja ki ezt a sokoldalú és praktikus mikrohullámú sütőt! Vásárolja meg a Home HG MH 21 mikrohullámú sütőt, és élvezze a gyors és kényelmes főzést minden nap!</t>
        </is>
      </c>
    </row>
    <row r="284">
      <c r="A284" s="3" t="inlineStr">
        <is>
          <t>HGMH32D</t>
        </is>
      </c>
      <c r="B284" s="2" t="inlineStr">
        <is>
          <t>Home HGMH32D mikrohullámú sütő, 1000 W, 32 l kapacitás, 95 p időzítő, 5 teljesítményszint, 8 automata program, gyerekzár, 14.53 kg</t>
        </is>
      </c>
      <c r="C284" s="1" t="n">
        <v>48390.0</v>
      </c>
      <c r="D284" s="7" t="n">
        <f>HYPERLINK("https://www.somogyi.hu/product/home-hgmh32d-mikrohullamu-suto-1000-w-32-l-kapacitas-95-p-idozito-5-teljesitmenyszint-8-automata-program-gyerekzar-14-53-kg-hgmh32d-18349","https://www.somogyi.hu/product/home-hgmh32d-mikrohullamu-suto-1000-w-32-l-kapacitas-95-p-idozito-5-teljesitmenyszint-8-automata-program-gyerekzar-14-53-kg-hgmh32d-18349")</f>
        <v>0.0</v>
      </c>
      <c r="E284" s="7" t="n">
        <f>HYPERLINK("https://www.somogyi.hu/data/img/product_main_images/small/18349.jpg","https://www.somogyi.hu/data/img/product_main_images/small/18349.jpg")</f>
        <v>0.0</v>
      </c>
      <c r="F284" s="2" t="inlineStr">
        <is>
          <t>5999084963675</t>
        </is>
      </c>
      <c r="G284" s="4" t="inlineStr">
        <is>
          <t>Egy nagy kapacitású mikrohullámú sütőt keres, amely minden igényt kielégít? A Home HGMH32D mikrohullámú sütő 32 literes térfogatával és 1000 W-os teljesítményével ideális választás a gyors és hatékony ételkészítéshez. A sütőben található Ø315 mm-es üveg forgótányér egyenletesen oszlatja el a hőt, míg a festett szürke beltér fehér LED világítása elegáns megjelenést kölcsönöz a konyhának.
Digitális vezérlésével könnyedén választhat a 8 automata program közül, így minden étel tökéletesre sül. Legyen szó kiolvasztásról tömeg vagy idő alapján, vagy akár többlépcsős főzésről, ez a mikrohullámú sütő minden elvárásnak megfelel. A 95 perces időzítővel precízen szabályozhatja az ételkészítés idejét, míg a gyerekzár funkció biztonságot garantál a kisebbek számára is.
Ne hagyja ki ezt a konyhai csodát, mely a 230V~/50Hz-es tápellátással és 14,53 kg-os súlyával könnyen illeszkedik bármely konyhába. Fedezze fel a Home HGMH32D mikrohullámú sütő nyújtotta kényelmet és hatékonyságot!</t>
        </is>
      </c>
    </row>
    <row r="285">
      <c r="A285" s="3" t="inlineStr">
        <is>
          <t>MO17E1W</t>
        </is>
      </c>
      <c r="B285" s="2" t="inlineStr">
        <is>
          <t>Gorenje MO17E1W mikrohullámú sütő, 700 W, 17 l, manuális, 5 fokozat, öntisztító funkció</t>
        </is>
      </c>
      <c r="C285" s="1" t="n">
        <v>33290.0</v>
      </c>
      <c r="D285" s="7" t="n">
        <f>HYPERLINK("https://www.somogyi.hu/product/gorenje-mo17e1w-mikrohullamu-suto-700-w-17-l-manualis-5-fokozat-ontisztito-funkcio-mo17e1w-18298","https://www.somogyi.hu/product/gorenje-mo17e1w-mikrohullamu-suto-700-w-17-l-manualis-5-fokozat-ontisztito-funkcio-mo17e1w-18298")</f>
        <v>0.0</v>
      </c>
      <c r="E285" s="7" t="n">
        <f>HYPERLINK("https://www.somogyi.hu/data/img/product_main_images/small/18298.jpg","https://www.somogyi.hu/data/img/product_main_images/small/18298.jpg")</f>
        <v>0.0</v>
      </c>
      <c r="F285" s="2" t="inlineStr">
        <is>
          <t>3838782175350</t>
        </is>
      </c>
      <c r="G285" s="4" t="inlineStr">
        <is>
          <t>Egy egyszerűen használható, de megbízható mikrohullámú sütőt keres a mindennapi konyhai feladatokhoz? A Gorenje MO17E1W mikrohullámú sütő tökéletes választás lehet az Ön számára! 
Ez a 700 W teljesítményű készülék elegendő erőt biztosít ahhoz, hogy gyorsan és hatékonyan melegítse fel vagy készítse el az ételeket. A 17 literes űrtartalom elegendő helyet kínál kisebb ételek vagy adagok számára, így ideális választás lehet egy kisebb konyhába vagy irodába.
A manuális vezérlés egyszerű és intuitív használatot tesz lehetővé, így könnyedén beállíthatja a kívánt teljesítményt és időt. Az öt különböző mikrohullámú teljesítményfokozat biztosítja, hogy mindig megtalálja az ideális beállítást az adott ételhez. Az üvegajtó nemcsak elegáns megjelenést kölcsönöz a készüléknek, hanem lehetővé teszi, hogy szemmel tartsa az étel készülését.
A 24,5 cm átmérőjű forgótányér biztosítja az egyenletes melegítést, míg az AquaClean öntisztító funkció segít abban, hogy a mikrohullámú sütő tisztán maradjon. A készülék fehér színben kapható, amely könnyedén illeszkedik bármilyen konyhai környezetbe.
Ne hagyja ki ezt a megbízható és praktikus mikrohullámú sütőt! Vásároljon most a Gorenje MO17E1W mikrohullámú sütőt, és élvezze a gyors, kényelmes és hatékony főzést minden nap!</t>
        </is>
      </c>
    </row>
    <row r="286">
      <c r="A286" s="3" t="inlineStr">
        <is>
          <t>HG MH 23 GR</t>
        </is>
      </c>
      <c r="B286" s="2" t="inlineStr">
        <is>
          <t>Home HG MH 23 GR mikrohullámú sütő grill funkcióval, digitális, 800 W, 23 literes, gyerekzár, szürke</t>
        </is>
      </c>
      <c r="C286" s="1" t="n">
        <v>45390.0</v>
      </c>
      <c r="D286" s="7" t="n">
        <f>HYPERLINK("https://www.somogyi.hu/product/home-hg-mh-23-gr-mikrohullamu-suto-grill-funkcioval-digitalis-800-w-23-literes-gyerekzar-szurke-hg-mh-23-gr-16925","https://www.somogyi.hu/product/home-hg-mh-23-gr-mikrohullamu-suto-grill-funkcioval-digitalis-800-w-23-literes-gyerekzar-szurke-hg-mh-23-gr-16925")</f>
        <v>0.0</v>
      </c>
      <c r="E286" s="7" t="n">
        <f>HYPERLINK("https://www.somogyi.hu/data/img/product_main_images/small/16925.jpg","https://www.somogyi.hu/data/img/product_main_images/small/16925.jpg")</f>
        <v>0.0</v>
      </c>
      <c r="F286" s="2" t="inlineStr">
        <is>
          <t>5999084949570</t>
        </is>
      </c>
      <c r="G286" s="4" t="inlineStr">
        <is>
          <t>Szeretné, ha konyhája még sokoldalúbb lenne egy modern mikrohullámú sütővel? A Home HG MH 23 GR mikrohullámú sütővel minden konyhai feladatot könnyedén és gyorsan megoldhat! 
Ez a 23 literes kapacitású készülék bőséges helyet biztosít az ételek melegítéséhez, főzéséhez és grillezéséhez. Az 800 W mikrohullámú és 1000 W grill teljesítménynek köszönhetően minden étel tökéletesen készül el. A tartozék grillrács és az üveg forgótányér (Ø27 cm) biztosítja a sokoldalú felhasználást.
A digitális vezérlés és a piros LED kijelző megkönnyíti a készülék használatát. Az 5 másodperctől 95 percig beállítható működési idő és a beépített független konyhai időzítő lehetővé teszi, hogy pontosan nyomon követhesse az ételek készítésének idejét. 
A mikrohullámú teljesítmény 5 fokozatban állítható, így minden ételhez megtalálhatja a megfelelő beállítást. Az előre beállított programok, mint például a pizza program, egyszerűvé teszik az ételek elkészítését, míg a kiolvasztás súly vagy idő szerint funkció gyors és hatékony felolvasztást biztosít. A gyerekzár funkció garantálja a biztonságos használatot, míg a kényelmes, nagyméretű fogantyú könnyed nyitást és zárást tesz lehetővé. A mikrohullámú sütő mérete 48,5 x 29,3 x 40,5 cm, így kompakt, mégis tágas belső teret kínál.
Ne hagyja ki ezt a sokoldalú és praktikus konyhai eszközt! Vásároljon most Home HG MH 23 GR mikrohullámú sütőt, és élvezze a gyors, kényelmes és hatékony főzést minden nap!</t>
        </is>
      </c>
    </row>
    <row r="287">
      <c r="A287" s="3" t="inlineStr">
        <is>
          <t>HGMH19</t>
        </is>
      </c>
      <c r="B287" s="2" t="inlineStr">
        <is>
          <t>Home HGMH19 mikrohullámú sütő, 700 W, 19 L, 5 fokozat, innoWAVE technológia, kiolvasztás súly és idő szerint, max. 30 p időzítő</t>
        </is>
      </c>
      <c r="C287" s="1" t="n">
        <v>29790.0</v>
      </c>
      <c r="D287" s="7" t="n">
        <f>HYPERLINK("https://www.somogyi.hu/product/home-hgmh19-mikrohullamu-suto-700-w-19-l-5-fokozat-innowave-technologia-kiolvasztas-suly-es-ido-szerint-max-30-p-idozito-hgmh19-18319","https://www.somogyi.hu/product/home-hgmh19-mikrohullamu-suto-700-w-19-l-5-fokozat-innowave-technologia-kiolvasztas-suly-es-ido-szerint-max-30-p-idozito-hgmh19-18319")</f>
        <v>0.0</v>
      </c>
      <c r="E287" s="7" t="n">
        <f>HYPERLINK("https://www.somogyi.hu/data/img/product_main_images/small/18319.jpg","https://www.somogyi.hu/data/img/product_main_images/small/18319.jpg")</f>
        <v>0.0</v>
      </c>
      <c r="F287" s="2" t="inlineStr">
        <is>
          <t>5999084963378</t>
        </is>
      </c>
      <c r="G287" s="4" t="inlineStr">
        <is>
          <t>Egy megbízható mikrohullámú sütőt keres, amely minden igényt kielégít? A Home HGMH19 mikrohullámú sütő az innoWAVE technológiával garantálja az egyenletes melegítést és főzést, így minden étel tökéletesen elkészíthető.
A 700 W-os teljesítmény és a 19 literes kapacitás biztosítják a különböző méretű ételek gyors elkészítését. Az öt fokozatban állítható teljesítményszint és a súly vagy idő alapján történő kiolvasztási funkció tovább növeli a kényelmet, míg a 30 perces időzítő lehetővé teszi az időben pontos ételkészítést. A kényelmes használatot a nagyméretű fogantyú és az Ø245 mm-es üveg forgótányér is elősegíti. Könnyű tisztítás és elegáns megjelenés jellemzi, tömege pedig ideális a könnyű mozgatáshoz.
Fedezze fel a gyors és egyszerű ételkészítés új dimenzióját a Home HGMH19 mikrohullámú sütővel!</t>
        </is>
      </c>
    </row>
    <row r="288">
      <c r="A288" s="3" t="inlineStr">
        <is>
          <t>MD-MP012MK-WH</t>
        </is>
      </c>
      <c r="B288" s="2" t="inlineStr">
        <is>
          <t>MIDEA MD-MP012MK-WH mikrohullámú sütő, 700 W, 19 L, mechanikus</t>
        </is>
      </c>
      <c r="C288" s="1" t="n">
        <v>27690.0</v>
      </c>
      <c r="D288" s="7" t="n">
        <f>HYPERLINK("https://www.somogyi.hu/product/midea-md-mp012mk-wh-mikrohullamu-suto-700-w-19-l-mechanikus-md-mp012mk-wh-18913","https://www.somogyi.hu/product/midea-md-mp012mk-wh-mikrohullamu-suto-700-w-19-l-mechanikus-md-mp012mk-wh-18913")</f>
        <v>0.0</v>
      </c>
      <c r="E288" s="7" t="n">
        <f>HYPERLINK("https://www.somogyi.hu/data/img/product_main_images/small/18913.jpg","https://www.somogyi.hu/data/img/product_main_images/small/18913.jpg")</f>
        <v>0.0</v>
      </c>
      <c r="F288" s="2" t="inlineStr">
        <is>
          <t>6944271670965</t>
        </is>
      </c>
      <c r="G288" s="4" t="inlineStr">
        <is>
          <t>Hogyan teheti egyszerűbbé és gyorsabbá az ételkészítést egy kompakt, megbízható készülékkel? A MIDEA MD-MP012MK-WH mikrohullámú sütő tökéletes választás mindazok számára, akik praktikus és hatékony megoldást keresnek a mindennapi ételmelegítéshez és gyorsfőzéshez. 
A készülék 700 wattos maximális mikrohullámú teljesítményével és 19 literes belső térfogatával könnyedén kezeli a kisebb és közepes adagokat, legyen szó gyors reggeliről, vacsoráról vagy maradék ételek melegítéséről. A mechanikus, tekerőgombos vezérlés egyszerű és intuitív használatot biztosít, így bárki könnyedén beállíthatja a kívánt teljesítményt és időtartamot. Az időzítő akár 33 percig is beállítható, amely elegendő a legtöbb étel elkészítéséhez vagy melegítéséhez. 
A készülék különleges kiolvasztási funkcióval is rendelkezik, amely lehetővé teszi az ételek gyors és egyenletes kiolvasztását idő vagy súly alapján, így Ön mindig a legoptimálisabb módon készítheti el a fagyasztott ételeket. A MIDEA mikrohullámú sütő 5 különböző teljesítményszinttel rendelkezik, így könnyedén kiválaszthatja a megfelelő beállítást bármilyen ételhez – legyen szó melegítésről, olvasztásról vagy főzésről. A készülék 245 mm átmérőjű forgótányérja biztosítja, hogy az étel egyenletesen melegedjen fel, így minden alkalommal tökéletes eredményt érhet el. A kompakt mérete (26,7 x 45,8 x 32,9 cm) révén ez a mikrohullámú sütő bármilyen konyhában könnyedén elhelyezhető, miközben elegendő belső térfogatot biztosít a napi használathoz. A 6,5 kg tömegével a MIDEA MD-MP012MK-WH könnyen mozgatható és a letisztult fehér dizájn tökéletesen illeszkedik bármilyen konyhai stílushoz. Ez a mikrohullámú sütő nemcsak praktikus és megbízható, hanem modern és elegáns megjelenésével is kiemelkedik a piacon.
Válassza a MIDEA MD-MP012MK-WH mikrohullámú sütőt, hogy az ételkészítés gyors, egyszerű és kényelmes legyen! Élvezze a megbízható teljesítményt, a sokoldalú funkciókat és a praktikus méretet minden nap!</t>
        </is>
      </c>
    </row>
    <row r="289">
      <c r="A289" s="3" t="inlineStr">
        <is>
          <t>HG MS 10</t>
        </is>
      </c>
      <c r="B289" s="2" t="inlineStr">
        <is>
          <t>Home HG MS 10 mini sütő termosztáttal, teljesítmény 1050 W, 9 literes, max. 230 °C, dupla üvegezésű ajtó, fekete</t>
        </is>
      </c>
      <c r="C289" s="1" t="n">
        <v>17990.0</v>
      </c>
      <c r="D289" s="7" t="n">
        <f>HYPERLINK("https://www.somogyi.hu/product/home-hg-ms-10-mini-suto-termosztattal-teljesitmeny-1050-w-9-literes-max-230-c-dupla-uvegezesu-ajto-fekete-hg-ms-10-17237","https://www.somogyi.hu/product/home-hg-ms-10-mini-suto-termosztattal-teljesitmeny-1050-w-9-literes-max-230-c-dupla-uvegezesu-ajto-fekete-hg-ms-10-17237")</f>
        <v>0.0</v>
      </c>
      <c r="E289" s="7" t="n">
        <f>HYPERLINK("https://www.somogyi.hu/data/img/product_main_images/small/17237.jpg","https://www.somogyi.hu/data/img/product_main_images/small/17237.jpg")</f>
        <v>0.0</v>
      </c>
      <c r="F289" s="2" t="inlineStr">
        <is>
          <t>5999084952617</t>
        </is>
      </c>
      <c r="G289" s="4" t="inlineStr">
        <is>
          <t>Egy kompakt, de sokoldalú sütőt keres, amely tökéletesen illeszkedik a konyhapultjára? A Home HG MS 10 mini sütő ideális választás, ha gyorsan és egyszerűen szeretne finom ételeket készíteni! 
Az 1050 W teljesítményű sütő 9 literes kapacitással rendelkezik, így tökéletes melegszendvicsek, lasagne, mini pizzák és elősütött friss bagettek készítéséhez. A termosztáttal könnyedén beállíthatja a sütési hőmérsékletet, akár 230 °C-ig, biztosítva az optimális sütési körülményeket minden ételhez.
A Home HG MS 10 mini sütő 60 perces időzítővel rendelkezik, amely segít pontosan követni az elkészítési időt. A hőszigetelt fogantyú és a hőszigetelt fém burkolat biztonságos használatot garantál, míg a dupla üvegezésű ajtó hatékonyan tartja bent a hőt. A készülék tartozéka a sütőrács, a tálca és a tálcafogó, így minden szükséges kiegészítőt megkap a tökéletes sütési élményhez. A 85 cm hosszú csatlakozókábel és a kompakt méret (37,5 x 22,5 x 30,5 cm) biztosítják, hogy a sütő könnyedén elférjen a konyhapulton, és a 4 kg-os tömeg lehetővé teszi a könnyű mozgatást.
Ne hagyja ki ezt a sokoldalú és praktikus mini sütőt! Vásárolja meg a Home HG MS 10 mini sütőt, és élvezze a gyors, ízletes ételek készítésének élményét minden nap!</t>
        </is>
      </c>
    </row>
    <row r="290">
      <c r="A290" s="6" t="inlineStr">
        <is>
          <t xml:space="preserve">   Háztartási gép, eszköz / Mixer</t>
        </is>
      </c>
      <c r="B290" s="6" t="inlineStr">
        <is>
          <t/>
        </is>
      </c>
      <c r="C290" s="6" t="inlineStr">
        <is>
          <t/>
        </is>
      </c>
      <c r="D290" s="6" t="inlineStr">
        <is>
          <t/>
        </is>
      </c>
      <c r="E290" s="6" t="inlineStr">
        <is>
          <t/>
        </is>
      </c>
      <c r="F290" s="6" t="inlineStr">
        <is>
          <t/>
        </is>
      </c>
      <c r="G290" s="6" t="inlineStr">
        <is>
          <t/>
        </is>
      </c>
    </row>
    <row r="291">
      <c r="A291" s="3" t="inlineStr">
        <is>
          <t>HG BM 12</t>
        </is>
      </c>
      <c r="B291" s="2" t="inlineStr">
        <is>
          <t>Home HG BM 12 botmixer, teljesítmény 250 W, ABS alapanyag, nemesacél kések, túlmelegedés elleni védelem</t>
        </is>
      </c>
      <c r="C291" s="1" t="n">
        <v>6190.0</v>
      </c>
      <c r="D291" s="7" t="n">
        <f>HYPERLINK("https://www.somogyi.hu/product/home-hg-bm-12-botmixer-teljesitmeny-250-w-abs-alapanyag-nemesacel-kesek-tulmelegedes-elleni-vedelem-hg-bm-12-14974","https://www.somogyi.hu/product/home-hg-bm-12-botmixer-teljesitmeny-250-w-abs-alapanyag-nemesacel-kesek-tulmelegedes-elleni-vedelem-hg-bm-12-14974")</f>
        <v>0.0</v>
      </c>
      <c r="E291" s="7" t="n">
        <f>HYPERLINK("https://www.somogyi.hu/data/img/product_main_images/small/14974.jpg","https://www.somogyi.hu/data/img/product_main_images/small/14974.jpg")</f>
        <v>0.0</v>
      </c>
      <c r="F291" s="2" t="inlineStr">
        <is>
          <t>5999084930080</t>
        </is>
      </c>
      <c r="G291" s="4" t="inlineStr">
        <is>
          <t>Gondolt már arra, milyen egyszerűen készíthetne krémleveseket, turmixokat és szószokat egyetlen eszközzel? A Home HG BM 12 botmixer a tökéletes választás az Ön számára! 
Ezzel a 250 W teljesítményű készülékkel könnyedén és gyorsan elvégezheti a keverési, pürésítési és aprítási feladatokat. Az ergonomikus markolat kényelmes használatot biztosít, így a hosszabb konyhai munkák során sem fárad el a keze. A botmixer nemesacél kései rendkívül hatékonyak, így minden összetevőt gyorsan és egyenletesen aprítanak. Az ABS alapanyagból készült készülékház tartós és könnyen tisztítható. A magas, 15.000 fordulat/perc sebesség garantálja, hogy minden feladatot gyorsan elvégezzen, legyen szó levesekről, szószokról vagy turmixokról. A könnyen levehető műanyag mixelő szárnak köszönhetően a tisztítás egyszerű és gyors. A botmixer túlmelegedés elleni védelemmel rendelkezik, így biztonságosan használható a konyhában.
Ne hagyja ki ezt a praktikus és megbízható konyhai eszközt! Szerezze be a Home HG BM 12 botmixert, és élvezze a gyors és hatékony konyhai munkát minden nap!</t>
        </is>
      </c>
    </row>
    <row r="292">
      <c r="A292" s="3" t="inlineStr">
        <is>
          <t>HM0293</t>
        </is>
      </c>
      <c r="B292" s="2" t="inlineStr">
        <is>
          <t>Midea HM0293 kézi mixer, 5 sebesség + turbó fokozat, 400 W, fekete</t>
        </is>
      </c>
      <c r="C292" s="1" t="n">
        <v>13890.0</v>
      </c>
      <c r="D292" s="7" t="n">
        <f>HYPERLINK("https://www.somogyi.hu/product/midea-hm0293-kezi-mixer-5-sebesseg-turbo-fokozat-400-w-fekete-hm0293-17813","https://www.somogyi.hu/product/midea-hm0293-kezi-mixer-5-sebesseg-turbo-fokozat-400-w-fekete-hm0293-17813")</f>
        <v>0.0</v>
      </c>
      <c r="E292" s="7" t="n">
        <f>HYPERLINK("https://www.somogyi.hu/data/img/product_main_images/small/17813.jpg","https://www.somogyi.hu/data/img/product_main_images/small/17813.jpg")</f>
        <v>0.0</v>
      </c>
      <c r="F292" s="2" t="inlineStr">
        <is>
          <t>6939962756127</t>
        </is>
      </c>
      <c r="G292" s="4" t="inlineStr">
        <is>
          <t>Szeretné ha a habok, sütemények és péksütemények készítése könnyebb és gyorsabb lenne? A Midea HM0293 kézi mixer az ideális választás! 
Ezzel a 400 W teljesítményű készülékkel gyorsan és hatékonyan elvégezheti a keverési, habverési és dagasztási feladatokat. Az 5 sebességfokozat és a TURBO funkció biztosítja, hogy mindig a megfelelő teljesítménnyel dolgozhasson, legyen szó könnyű habok vagy sűrű tészták elkészítéséről. A rozsdamentes acél keverőszárak, dagasztókarok és habverők garantálják a tartósságot és a könnyű tisztíthatóságot. Az egyszerű, egygombos keverőkar kiadási mechanizmus lehetővé teszi a gyors és könnyű cserét, így még a legnagyobb konyhai kihívások is gyerekjáték lesznek.
A habverők mosogatógépben is tisztíthatók, így a tisztítás gyors és egyszerű. A készülék ergonomikus kialakítása kényelmes fogást biztosít, így hosszabb használat során sem fárad el a keze.
Ne hagyja ki ezt a kiváló minőségű kézi mixert! Vásároljon most a Midea HM0293 kézi mixert, és élvezze a gyors, egyszerű és hatékony konyhai munkát minden nap!</t>
        </is>
      </c>
    </row>
    <row r="293">
      <c r="A293" s="3" t="inlineStr">
        <is>
          <t>HM0293N</t>
        </is>
      </c>
      <c r="B293" s="2" t="inlineStr">
        <is>
          <t>Midea HM0293N kézi mixer, 5 sebesség + turbó fokozat, 400 W, fekete</t>
        </is>
      </c>
      <c r="C293" s="1" t="n">
        <v>10990.0</v>
      </c>
      <c r="D293" s="7" t="n">
        <f>HYPERLINK("https://www.somogyi.hu/product/midea-hm0293n-kezi-mixer-5-sebesseg-turbo-fokozat-400-w-fekete-hm0293n-19111","https://www.somogyi.hu/product/midea-hm0293n-kezi-mixer-5-sebesseg-turbo-fokozat-400-w-fekete-hm0293n-19111")</f>
        <v>0.0</v>
      </c>
      <c r="E293" s="7" t="n">
        <f>HYPERLINK("https://www.somogyi.hu/data/img/product_main_images/small/19111.jpg","https://www.somogyi.hu/data/img/product_main_images/small/19111.jpg")</f>
        <v>0.0</v>
      </c>
      <c r="F293" s="2" t="inlineStr">
        <is>
          <t>6936718309019</t>
        </is>
      </c>
      <c r="G293" s="4" t="inlineStr">
        <is>
          <t>Szüksége van egy megbízható, erős kézi mixerre, amely szinte minden konyhai feladattal könnyedén megbirkózik? A Midea HM0293N kézi mixer ideális választás! 
A készülék 400 wattos teljesítménye biztosítja, hogy még a keményebb alapanyagokat is gyorsan és hatékonyan dolgozza fel, legyen szó süteményekről, habokról vagy épp lágy tésztákról. A mixer 5 különböző sebességi fokozattal rendelkezik, amely lehetővé teszi, hogy mindig a megfelelő erősséget válassza a különböző alapanyagokhoz. Emellett a turbó fokozat pillanatok alatt extra teljesítményt nyújt, így még a legnagyobb kihívást jelentő feladatokat is könnyedén megoldhatja. Az ergonomikus kialakítású, egyszerűen kezelhető készülék egyetlen gombnyomással kiadja a rozsdamentes keverőszárakat, így használata gyors és kényelmes. A rozsdamentes keverőszárak nemcsak tartósak és higiénikusak, de mosogatógépben is tisztíthatók, így az utómunkálatok sem jelentenek problémát. A letisztult, modern fekete dizájn elegánsan illeszkedik bármilyen konyhai környezetbe, miközben funkcionalitásában is kitűnik a kategóriájából.
Ne habozzon, válassza a Midea HM0293N kézi mixert, és emelje új szintre a konyhai élményt – erőteljes, stílusos és praktikus társ lesz minden főzés során!</t>
        </is>
      </c>
    </row>
    <row r="294">
      <c r="A294" s="3" t="inlineStr">
        <is>
          <t>HG BMS 64</t>
        </is>
      </c>
      <c r="B294" s="2" t="inlineStr">
        <is>
          <t>Home HG BMS 64 botmixerszett, teljesítmény 600 W, 2 sebességfokozat, rozsdamentes kések,</t>
        </is>
      </c>
      <c r="C294" s="1" t="n">
        <v>14290.0</v>
      </c>
      <c r="D294" s="7" t="n">
        <f>HYPERLINK("https://www.somogyi.hu/product/home-hg-bms-64-botmixerszett-teljesitmeny-600-w-2-sebessegfokozat-rozsdamentes-kesek-hg-bms-64-16419","https://www.somogyi.hu/product/home-hg-bms-64-botmixerszett-teljesitmeny-600-w-2-sebessegfokozat-rozsdamentes-kesek-hg-bms-64-16419")</f>
        <v>0.0</v>
      </c>
      <c r="E294" s="7" t="n">
        <f>HYPERLINK("https://www.somogyi.hu/data/img/product_main_images/small/16419.jpg","https://www.somogyi.hu/data/img/product_main_images/small/16419.jpg")</f>
        <v>0.0</v>
      </c>
      <c r="F294" s="2" t="inlineStr">
        <is>
          <t>5999084944513</t>
        </is>
      </c>
      <c r="G294" s="4" t="inlineStr">
        <is>
          <t>Képzelje el, hogy egy eszköz képes választ adni az összes konyhai igényére. A Home HG BMS 64 botmixerszett nem csupán egy szimpla botmixer. 600 W teljesítményével gyors és hatékony eredményt garantál, legyen szó turmixolásról vagy aprításról. A csomagban található rozsdamentes mixer, mérőpohár, habverő és a tálas aprító kiváló minőségűek és rendkívül praktikusak.
Az aprítás sosem volt ennyire egyszerű! A tálas aprító 600 ml űrtartalmával kiválóan alkalmas diók, zöldségek, gyümölcsök gyors feldolgozására. A 700 ml-es mérőpohárban pedig a tökéletes mennyiségeket mérhetjük le. A kétféle sebességfokozat lehetővé teszi, hogy minden alapanyagot a legoptimálisabb intenzitással dolgozzunk fel. Az ergonomikus markolatnak köszönhetően a kezelése is kényelmes és egyszerű, míg a könnyen összerakható szerkezet és a rozsdamentes kések hosszútávon is biztosítják a termék megbízhatóságát. Az egyszerű tisztíthatóság mellett nem szabad megfeledkezni a túlmelegedés elleni védelemről sem, ami biztosítja, hogy készülékünk mindig biztonságosan működjön.
Ne várjon tovább! Fedezze fel a konyhai munkák egyszerűségét a Home HG BMS 64 botmixerszettel!</t>
        </is>
      </c>
    </row>
    <row r="295">
      <c r="A295" s="3" t="inlineStr">
        <is>
          <t>HG KM 18</t>
        </is>
      </c>
      <c r="B295" s="2" t="inlineStr">
        <is>
          <t>Home HG KM 18 kézi mixer, teljesítmény 250 W, 5 sebességfokozat, TURBO fokozat, habverő és dagasztó karok, fehér</t>
        </is>
      </c>
      <c r="C295" s="1" t="n">
        <v>9190.0</v>
      </c>
      <c r="D295" s="7" t="n">
        <f>HYPERLINK("https://www.somogyi.hu/product/home-hg-km-18-kezi-mixer-teljesitmeny-250-w-5-sebessegfokozat-turbo-fokozat-habvero-es-dagaszto-karok-feher-hg-km-18-16592","https://www.somogyi.hu/product/home-hg-km-18-kezi-mixer-teljesitmeny-250-w-5-sebessegfokozat-turbo-fokozat-habvero-es-dagaszto-karok-feher-hg-km-18-16592")</f>
        <v>0.0</v>
      </c>
      <c r="E295" s="7" t="n">
        <f>HYPERLINK("https://www.somogyi.hu/data/img/product_main_images/small/16592.jpg","https://www.somogyi.hu/data/img/product_main_images/small/16592.jpg")</f>
        <v>0.0</v>
      </c>
      <c r="F295" s="2" t="inlineStr">
        <is>
          <t>5999084946241</t>
        </is>
      </c>
      <c r="G295" s="4" t="inlineStr">
        <is>
          <t>Egy megbízható és sokoldalú kézi mixert keres a konyhai feladatokhoz? A Home HG KM 18 kézi mixer tökéletes választás! 
Ezt a 250 W teljesítményű készüléket úgy tervezték, hogy könnyedén megbirkózzon a különböző keverési és dagasztási feladatokkal. Az öt sebességfokozat lehetővé teszi, hogy mindig a megfelelő erővel dolgozzon, a TURBO fokozat pedig extra teljesítményt nyújt, amikor szüksége van rá.
A Home HG KM 18 kézi mixer tartozékai között megtalálhatóak a habverő és dagasztó karok, amelyek a leggyakoribb keverési vagy dagasztási feladathoz ideálisak. A keverőszárak kényelmes kioldásához egy kioldó gomb áll rendelkezésére, így könnyedén cserélheti vagy tisztíthatja azokat.
A készülék könnyen tisztítható, és a túlmelegedés elleni védelem biztosítja, hogy hosszú élettartammal bírjon, és mindig biztonságosan használható legyen. A kompakt mérete (14 x 20 x 9 cm) lehetővé teszi, hogy könnyedén tárolja a konyhában, és mindig kéznél legyen, amikor szüksége van rá.
Ne hagyja ki ezt a kiváló minőségű kézi mixert! Vásároljon most a Home HG KM 18 kézi mixert, és élvezze a gyors és hatékony konyhai munkát minden nap!</t>
        </is>
      </c>
    </row>
    <row r="296">
      <c r="A296" s="3" t="inlineStr">
        <is>
          <t>HGBMS65</t>
        </is>
      </c>
      <c r="B296" s="2" t="inlineStr">
        <is>
          <t>Home HGBMS65 botmixer szett, 1000W, 15 fokozatban állítható sebesség, tálas aprító űrtartalma 500 ml, mérőpohár űrtartalma 650 ml</t>
        </is>
      </c>
      <c r="C296" s="1" t="n">
        <v>14290.0</v>
      </c>
      <c r="D296" s="7" t="n">
        <f>HYPERLINK("https://www.somogyi.hu/product/home-hgbms65-botmixer-szett-1000w-15-fokozatban-allithato-sebesseg-talas-aprito-urtartalma-500-ml-meropohar-urtartalma-650-ml-hgbms65-18918","https://www.somogyi.hu/product/home-hgbms65-botmixer-szett-1000w-15-fokozatban-allithato-sebesseg-talas-aprito-urtartalma-500-ml-meropohar-urtartalma-650-ml-hgbms65-18918")</f>
        <v>0.0</v>
      </c>
      <c r="E296" s="7" t="n">
        <f>HYPERLINK("https://www.somogyi.hu/data/img/product_main_images/small/18918.jpg","https://www.somogyi.hu/data/img/product_main_images/small/18918.jpg")</f>
        <v>0.0</v>
      </c>
      <c r="F296" s="2" t="inlineStr">
        <is>
          <t>5999084969127</t>
        </is>
      </c>
      <c r="G296" s="4" t="inlineStr">
        <is>
          <t>Hogyan varázsolhat gyorsan és egyszerűen ínycsiklandó fogásokat a konyhában?
A Home HGBMS65 botmixer szett a tökéletes társ a konyhai munkákhoz, legyen szó turmixok, levesek vagy habosított krémek elkészítéséről. Az 1000 W-os teljesítmény, a 15 fokozatban állítható sebesség és a sokoldalú tartozékok gondoskodnak arról, hogy minden konyhai feladat gyorsan és hatékonyan valósuljon meg.
Sokoldalú konyhai eszköz minden igényhez.
Kiváló teljesítmény és precíz vezérlés . Az 1000 W-os motor erőteljes működést biztosít, amely még a keményebb alapanyagokkal is könnyedén megbirkózik. A 15 fokozatban állítható sebesség lehetővé teszi a precíz munkavégzést, míg a TURBO funkcióval gyorsan elérheti a kívánt eredményt. Legyen szó pürésítésről, habverésről vagy aprításról, mindig pontosan az igényekhez igazíthatja a teljesítményt.
Különböző tartozékok a maximális funkcionalitásért.
- Rozsdamentes mixerfej: Ideális turmixok, szószok vagy krémlevesek készítéséhez.
- Tálas aprító (500 ml): Hús, zöldségek, magvak vagy hagyma gyors aprításához.
- Habverő: Tökéletes választás tejszínhab vagy tojásfehérje felverésére.
- Mérőpohár (650 ml): Könnyű mérés és tárolás a főzés során.
Egyszerű használat és kényelem.
Ergonomikus kialakítás .
A kézhez simuló, ergonomikus markolat biztosítja a kényelmes használatot, akár hosszabb munkavégzés esetén is. Az eszköz egyszerűen összerakható, így gyorsan munkára fogható, amikor szükség van rá.
Könnyű tisztítás .
A rozsdamentes acél kések és a levehető tartozékok könnyedén tisztíthatók, így a munka végeztével sem kell sok időt tölteni a takarítással. A strapabíró anyagok garantálják a hosszú távú megbízhatóságot.
Miért válassza a Home HGBMS65 botmixer szettet?
- 1000 W-os erőteljes motor, amely szinte bármilyen alapanyagot gyorsan feldolgoz.
- 15 fokozatban állítható sebesség és TURBO funkció a pontos munkavégzéshez.
- Sokoldalú tartozékok: tálas aprító, habverő, mérőpohár és mixerfej.
- Ergonomikus markolat és könnyű tisztíthatóság a mindennapi használat kényelméért.
- Strapabíró, rozsdamentes anyagok a hosszú élettartamért.
Ne vesztegesse az időt felesleges konyhai eszközökkel! Válassza a Home HGBMS65 botmixer szettet, és tapasztalja meg, milyen egyszerű lehet a főzés és sütés minden nap!</t>
        </is>
      </c>
    </row>
    <row r="297">
      <c r="A297" s="3" t="inlineStr">
        <is>
          <t>HGKM40</t>
        </is>
      </c>
      <c r="B297" s="2" t="inlineStr">
        <is>
          <t>Home HGKM40 kézimixer, 400 W, 5 sebességfokozat, habverő és dagasztó karok, kioldó gomb</t>
        </is>
      </c>
      <c r="C297" s="1" t="n">
        <v>11090.0</v>
      </c>
      <c r="D297" s="7" t="n">
        <f>HYPERLINK("https://www.somogyi.hu/product/home-hgkm40-kezimixer-400-w-5-sebessegfokozat-habvero-es-dagaszto-karok-kioldo-gomb-hgkm40-18931","https://www.somogyi.hu/product/home-hgkm40-kezimixer-400-w-5-sebessegfokozat-habvero-es-dagaszto-karok-kioldo-gomb-hgkm40-18931")</f>
        <v>0.0</v>
      </c>
      <c r="E297" s="7" t="n">
        <f>HYPERLINK("https://www.somogyi.hu/data/img/product_main_images/small/18931.jpg","https://www.somogyi.hu/data/img/product_main_images/small/18931.jpg")</f>
        <v>0.0</v>
      </c>
      <c r="F297" s="2" t="inlineStr">
        <is>
          <t>5999084969257</t>
        </is>
      </c>
      <c r="G297" s="4" t="inlineStr">
        <is>
          <t>Szüksége van egy megbízható kézi mixerre, amely gyorsan és hatékonyan segít a konyhai munkában? A Home HGKM40 kézimixer ideális választás, hiszen 400 W teljesítménnyel és 5 sebességfokozattal, valamint egy extra TURBO fokozattal biztosítja a tökéletes keverést és dagasztást. 
A mellékelt habverő és dagasztó karok (14 cm hosszúak) segítségével könnyedén készíthet habot, krémeket vagy tésztát. A kioldó gomb megkönnyíti a keverőszárak cseréjét, így használata egyszerű és kényelmes. A mixer kompakt méretei (19x15x8 cm) miatt kis helyen is elfér, és a könnyű tisztításnak köszönhetően időt takaríthat meg a konyhában. A 230V~ 50Hz tápellátás biztosítja a folyamatos és egyenletes teljesítményt, így mindig számíthat rá.
Tegye még élvezetesebbé a főzést a Home HGKM40 kézimixerrel, és érje el a tökéletes eredményt minden alkalommal!</t>
        </is>
      </c>
    </row>
    <row r="298">
      <c r="A298" s="6" t="inlineStr">
        <is>
          <t xml:space="preserve">   Háztartási gép, eszköz / Olajsütő, főzőlap</t>
        </is>
      </c>
      <c r="B298" s="6" t="inlineStr">
        <is>
          <t/>
        </is>
      </c>
      <c r="C298" s="6" t="inlineStr">
        <is>
          <t/>
        </is>
      </c>
      <c r="D298" s="6" t="inlineStr">
        <is>
          <t/>
        </is>
      </c>
      <c r="E298" s="6" t="inlineStr">
        <is>
          <t/>
        </is>
      </c>
      <c r="F298" s="6" t="inlineStr">
        <is>
          <t/>
        </is>
      </c>
      <c r="G298" s="6" t="inlineStr">
        <is>
          <t/>
        </is>
      </c>
    </row>
    <row r="299">
      <c r="A299" s="3" t="inlineStr">
        <is>
          <t>HG R 04SS</t>
        </is>
      </c>
      <c r="B299" s="2" t="inlineStr">
        <is>
          <t>Home HG R 04SS hordozható elektromos főzőlap, dupla, teljesítmény 1000 W + 1500 W, ∅15 cm + ∅18 cm főzőfelület, rozsdamentes készülékház</t>
        </is>
      </c>
      <c r="C299" s="1" t="n">
        <v>16690.0</v>
      </c>
      <c r="D299" s="7" t="n">
        <f>HYPERLINK("https://www.somogyi.hu/product/home-hg-r-04ss-hordozhato-elektromos-fozolap-dupla-teljesitmeny-1000-w-1500-w-15-cm-18-cm-fozofelulet-rozsdamentes-keszulekhaz-hg-r-04ss-17906","https://www.somogyi.hu/product/home-hg-r-04ss-hordozhato-elektromos-fozolap-dupla-teljesitmeny-1000-w-1500-w-15-cm-18-cm-fozofelulet-rozsdamentes-keszulekhaz-hg-r-04ss-17906")</f>
        <v>0.0</v>
      </c>
      <c r="E299" s="7" t="n">
        <f>HYPERLINK("https://www.somogyi.hu/data/img/product_main_images/small/17906.jpg","https://www.somogyi.hu/data/img/product_main_images/small/17906.jpg")</f>
        <v>0.0</v>
      </c>
      <c r="F299" s="2" t="inlineStr">
        <is>
          <t>5999084959289</t>
        </is>
      </c>
      <c r="G299" s="4" t="inlineStr">
        <is>
          <t>Ön is gondolkodott már azon, hogyan varázsolhatna gyorsan egy finom ételt szűkebb helyeken vagy utazás közben? A Home HG R 04SS hordozható elektromos főzőlap pontosan erre a célra lett tervezve. 
Legyen szó hétvégi házról, kollégiumi konyháról vagy egy sátras kempingezésről, ez a készülék tökéletes társ lesz. Két különböző átmérőjű (15 cm és 18 cm-es) főzőfelületeivel két különböző fogást is készíthet egyszerre, az 1000W és 1500W-os teljesítménynek köszönhetően pedig mindkettő gyorsan felmelegszik, megfőzhető. A beállítható főzési hőmérséklet révén mindig az ideális hőfokon készülhetnek el ételei, a stabil gumilábak pedig gondoskodnak a készülék megingathatatlan pozíciójáról. A stabil gumilábaknak köszönhetően biztosan áll, míg a rozsdamentes készülékház garantálja a hosszú élettartamot és a könnyű tisztíthatóságot. Mivel kompakt méretű, könnyedén tárolhatja vagy szállíthatja, és kisebb helyeken is elfér. 
Ne hagyja ki ezt az innovatív konyhai eszközt, mely megkönnyíti az ételkészítést bárhol és bármikor!</t>
        </is>
      </c>
    </row>
    <row r="300">
      <c r="A300" s="3" t="inlineStr">
        <is>
          <t>HG R 01WH</t>
        </is>
      </c>
      <c r="B300" s="2" t="inlineStr">
        <is>
          <t>Home HG R 01WH hordozható elektromos főzőlap, teljesítmény: 1500 W, ∅18 cm főzőfelület, zománcozott készülékház, fehér</t>
        </is>
      </c>
      <c r="C300" s="1" t="n">
        <v>8890.0</v>
      </c>
      <c r="D300" s="7" t="n">
        <f>HYPERLINK("https://www.somogyi.hu/product/home-hg-r-01wh-hordozhato-elektromos-fozolap-teljesitmeny-1500-w-18-cm-fozofelulet-zomancozott-keszulekhaz-feher-hg-r-01wh-17903","https://www.somogyi.hu/product/home-hg-r-01wh-hordozhato-elektromos-fozolap-teljesitmeny-1500-w-18-cm-fozofelulet-zomancozott-keszulekhaz-feher-hg-r-01wh-17903")</f>
        <v>0.0</v>
      </c>
      <c r="E300" s="7" t="n">
        <f>HYPERLINK("https://www.somogyi.hu/data/img/product_main_images/small/17903.jpg","https://www.somogyi.hu/data/img/product_main_images/small/17903.jpg")</f>
        <v>0.0</v>
      </c>
      <c r="F300" s="2" t="inlineStr">
        <is>
          <t>5999084959258</t>
        </is>
      </c>
      <c r="G300" s="4" t="inlineStr">
        <is>
          <t>Szeretne gyorsan és egyszerűen főzni, bárhol is van? A Home HG R 01WH hordozható elektromos főzőlap tökéletes választás mindazok számára, akik rugalmas és megbízható főzési megoldást keresnek. Ez a 1500 W teljesítményű készülék egyetlen, ∅18 cm átmérőjű főzőfelülettel rendelkezik, amely ideális méretű mindennapi használatra.
Miért válassza a Home HG R 01WH főzőlapot?
A főzőlap 5 fokozatban állítható hőfokszabályozóval rendelkezik, így mindig a megfelelő hőmérsékleten főzheti ételeit. A masszív, zománcozott készülékház nemcsak tartós és strapabíró, de rendkívül könnyen tisztítható is, így a főzőlap mindig makulátlan maradhat. A stabil gumilábak biztosítják, hogy a főzőlap mindig biztonságosan álljon, akár egyenetlen felületeken is.
Hőfokszabályozás: Az 5 fokozatban állítható hőmérséklet biztosítja, hogy mindig az optimális hőmérsékleten főzhessen.
Kompakt kivitel: A készülék kis mérete (21 x 6,5 x 25,5 cm) és könnyű súlya (1,8 kg) lehetővé teszi, hogy bárhová magával vigye.
Gyors felmelegedés: A 1500 W teljesítmény gyors és hatékony főzést tesz lehetővé, így időt takaríthat meg.
Univerzális használat: Ideális választás hétvégi házakban, kollégiumokban, vagy kempingezéshez, ahol kis helyen elfér és nagy teljesítményt nyújt.
További előnyök: A 230 V-os tápellátás és a stabil gumilábak garantálják a biztonságos és hatékony használatot. A hordozható kivitel révén bármilyen környezetben könnyedén használható, legyen szó otthoni konyháról vagy szabadtéri főzésről.
Ne hagyja ki! Szerezze be a Home HG R 01WH hordozható elektromos főzőlapot még ma, és élvezze a főzés szabadságát bárhol, bármikor!</t>
        </is>
      </c>
    </row>
    <row r="301">
      <c r="A301" s="3" t="inlineStr">
        <is>
          <t>HG R 02WH</t>
        </is>
      </c>
      <c r="B301" s="2" t="inlineStr">
        <is>
          <t>Home HG R 02WH hordozható elektromos főzőlap, dupla, teljesítmény 1000 W + 1500 W, ∅15 cm + ∅18 cm főzőfelület, zománcozott készülékház, fehér</t>
        </is>
      </c>
      <c r="C301" s="1" t="n">
        <v>14890.0</v>
      </c>
      <c r="D301" s="7" t="n">
        <f>HYPERLINK("https://www.somogyi.hu/product/home-hg-r-02wh-hordozhato-elektromos-fozolap-dupla-teljesitmeny-1000-w-1500-w-15-cm-18-cm-fozofelulet-zomancozott-keszulekhaz-feher-hg-r-02wh-17904","https://www.somogyi.hu/product/home-hg-r-02wh-hordozhato-elektromos-fozolap-dupla-teljesitmeny-1000-w-1500-w-15-cm-18-cm-fozofelulet-zomancozott-keszulekhaz-feher-hg-r-02wh-17904")</f>
        <v>0.0</v>
      </c>
      <c r="E301" s="7" t="n">
        <f>HYPERLINK("https://www.somogyi.hu/data/img/product_main_images/small/17904.jpg","https://www.somogyi.hu/data/img/product_main_images/small/17904.jpg")</f>
        <v>0.0</v>
      </c>
      <c r="F301" s="2" t="inlineStr">
        <is>
          <t>5999084959265</t>
        </is>
      </c>
      <c r="G301" s="4" t="inlineStr">
        <is>
          <t>Szeretné gyorsan és kényelmesen elkészíteni kedvenc ételeit bárhol is tartózkodjék? A Home HG R 02WH hordozható elektromos főzőlap ideális választás a hétvégi házak, kollégiumok vagy kempingezés szerelmeseinek. 
Ezzel a 2500 W teljesítményű főzőlappal bármilyen étel könnyedén és gyorsan elkészíthető. Két főzőfelületének köszönhetően egyszerre több fogást is készíthet: az egyik ∅15 cm átmérőjű és 1000 W teljesítményű, míg a másik ∅18 cm és 1500 W teljesítményű, így minden igényt kielégít.
Miért válassza a Home HG R 02WH főzőlapot?
Az 5 fokozatban állítható hőmérséklet biztosítja, hogy mindig a megfelelő hőmérsékleten főzhessen, akár lassú tűzön, akár forrpont közelében. A masszív, zománcozott készülékház nemcsak strapabíró, hanem rendkívül könnyen tisztítható, így a főzőlap mindig makulátlan maradhat. A stabil gumilábak gondoskodnak arról, hogy a főzőlap mindig biztonságosan álljon, akár egyenetlen felületeken is. Kompakt méretének (47 x 6,5 x 25,5 cm) és könnyű súlyának (3,3 kg) köszönhetően bárhová magával viheti, ahol szüksége van rá.
További előnyök: A 230 V-os tápellátás és a gyors felmelegedési képesség révén pillanatok alatt készen áll a főzésre. Ideális választás, ha kis helyen kell elférnie, de nem szeretne kompromisszumot kötni a kényelem és a hatékonyság terén.
Ne várjon tovább! Vásárolja meg a Home HG R 02WH hordozható elektromos főzőlapot most, és élvezze a főzés szabadságát bárhol, bármikor!</t>
        </is>
      </c>
    </row>
    <row r="302">
      <c r="A302" s="3" t="inlineStr">
        <is>
          <t>HG R 03SS</t>
        </is>
      </c>
      <c r="B302" s="2" t="inlineStr">
        <is>
          <t>Home HG R 03SS hordozható elektromos főzőlap, teljesítmény: 1500 W, ∅18 cm főzőfelület, rozsdamentes készülékház</t>
        </is>
      </c>
      <c r="C302" s="1" t="n">
        <v>9790.0</v>
      </c>
      <c r="D302" s="7" t="n">
        <f>HYPERLINK("https://www.somogyi.hu/product/home-hg-r-03ss-hordozhato-elektromos-fozolap-teljesitmeny-1500-w-18-cm-fozofelulet-rozsdamentes-keszulekhaz-hg-r-03ss-17905","https://www.somogyi.hu/product/home-hg-r-03ss-hordozhato-elektromos-fozolap-teljesitmeny-1500-w-18-cm-fozofelulet-rozsdamentes-keszulekhaz-hg-r-03ss-17905")</f>
        <v>0.0</v>
      </c>
      <c r="E302" s="7" t="n">
        <f>HYPERLINK("https://www.somogyi.hu/data/img/product_main_images/small/17905.jpg","https://www.somogyi.hu/data/img/product_main_images/small/17905.jpg")</f>
        <v>0.0</v>
      </c>
      <c r="F302" s="2" t="inlineStr">
        <is>
          <t>5999084959272</t>
        </is>
      </c>
      <c r="G302" s="4" t="inlineStr">
        <is>
          <t>Szüksége van egy praktikus és megbízható főzőlapra, amely bárhol használható? A Home HG R 03SS hordozható elektromos főzőlap ideális megoldás mindazok számára, akik gyors és hatékony főzési lehetőséget keresnek, akár otthon, akár útközben. A 1500 W teljesítményű főzőlap egyetlen, ∅18 cm átmérőjű főzőfelülettel rendelkezik, amely bármilyen étel elkészítésére alkalmas.
Egyszerű kezelhetőség: A hőfokszabályozó segítségével könnyedén beállíthatja a kívánt hőmérsékletet, így mindig az optimális hőfokon főzhet. A fűtést jelző piros fény pedig azonnal tájékoztatja Önt a készülék működéséről.
Masszív és tartós kivitel: A rozsdamentes készülékház nemcsak esztétikus, de rendkívül könnyen tisztítható is, így mindig makulátlan maradhat.
Hordozhatóság: A kompakt méretek (23 x 8,5 x 25,5 cm) és a könnyű súly (1,9 kg) révén a főzőlapot bárhová magával viheti, legyen szó hétvégi házról, kollégiumról vagy kempingezésről.
Biztonság: A stabil gumilábak biztosítják, hogy a főzőlap mindig biztonságosan álljon, akár egyenetlen felületeken is. A 0,8 méteres kábelhossz pedig elegendő mozgásteret biztosít a használat során.
További előnyök: A 230 V-os tápellátás és a masszív rozsdamentes kivitel hosszú élettartamot és megbízható teljesítményt garantál. Akár hétköznapi használatra, akár különleges alkalmakra keresi az ideális főzőlapot, a Home HG R 03SS minden igényt kielégít.
Ne habozzon! Vásárolja meg a Home HG R 03SS hordozható elektromos főzőlapot most, és tapasztalja meg a főzés szabadságát és kényelmét bárhol, bármikor!</t>
        </is>
      </c>
    </row>
    <row r="303">
      <c r="A303" s="3" t="inlineStr">
        <is>
          <t>HG IF 29</t>
        </is>
      </c>
      <c r="B303" s="2" t="inlineStr">
        <is>
          <t>Home HG IF 29 indukciós főzőlap, teljesítmény 2000 W, hordozható, használható edényméret: ∅12 – ∅26 cm, automatikus edényfelismerés</t>
        </is>
      </c>
      <c r="C303" s="1" t="n">
        <v>20790.0</v>
      </c>
      <c r="D303" s="7" t="n">
        <f>HYPERLINK("https://www.somogyi.hu/product/home-hg-if-29-indukcios-fozolap-teljesitmeny-2000-w-hordozhato-hasznalhato-edenymeret-12-26-cm-automatikus-edenyfelismeres-hg-if-29-17948","https://www.somogyi.hu/product/home-hg-if-29-indukcios-fozolap-teljesitmeny-2000-w-hordozhato-hasznalhato-edenymeret-12-26-cm-automatikus-edenyfelismeres-hg-if-29-17948")</f>
        <v>0.0</v>
      </c>
      <c r="E303" s="7" t="n">
        <f>HYPERLINK("https://www.somogyi.hu/data/img/product_main_images/small/17948.jpg","https://www.somogyi.hu/data/img/product_main_images/small/17948.jpg")</f>
        <v>0.0</v>
      </c>
      <c r="F303" s="2" t="inlineStr">
        <is>
          <t>5999084959708</t>
        </is>
      </c>
      <c r="G303" s="4" t="inlineStr">
        <is>
          <t>Szeretné élvezni a modern konyhatechnológia előnyeit bárhol, bármikor? A Home HG IF 29 indukciós főzőlap tökéletes választás mindazoknak, akik a legmagasabb szintű kényelmet és hatékonyságot keresik. 
Ez a 2000 W teljesítményű készülék tíz fokozatban állítható, 200 Wattonként, így bármilyen főzési igényt kielégít. A hőmérséklet 60 és 240 °C között szabályozható, 20 fokos lépésekben, hogy mindig pontosan beállíthassa az ideális főzési hőmérsékletet.
Miért válassza a Home HG IF 29 indukciós főzőlapot?
Az érintőgombos vezérlés és a LED kijelző révén a főzőlap kezelése intuitív és gyors, így a főzés soha nem volt ilyen egyszerű. Az automatikus edényfelismerés garantálja, hogy a főzőlap csak akkor működik, ha megfelelő edényt helyez rá, biztosítva ezzel az optimális energiafelhasználást és biztonságot. A gyerekzár gondoskodik arról, hogy a kisebb kezek ne állítsanak be semmit véletlenül, így Ön nyugodtan főzhet.
A kikapcsolás időzítés funkció 1 perc és 3 óra között állítható, így soha nem kell aggódnia az elfelejtett ételek miatt. A hőálló, Ø 29 cm üvegkerámia főzőfelület nemcsak stílusos, de tartós is, így hosszú élettartamot garantál. A hordozható kivitel lehetővé teszi, hogy bárhová magával vigye, legyen szó akár kempingezésről, akár kisebb konyhákról.
További előnyök:
A 220-240 V-os tápellátás és a csúszásgátló szilikon talpak biztosítják a stabil és biztonságos használatot minden körülmények között. A készülék könnyű súlya (mindössze 2,1 kg) és kompakt mérete (Ø 290 x 64 mm) révén kis helyen is elfér.
Ne habozzon! Vásárolja meg a Home HG IF 29 indukciós főzőlapot most, és élvezze a főzés szabadságát és kényelmét bárhol, bármikor!</t>
        </is>
      </c>
    </row>
    <row r="304">
      <c r="A304" s="3" t="inlineStr">
        <is>
          <t>HGOLS4</t>
        </is>
      </c>
      <c r="B304" s="2" t="inlineStr">
        <is>
          <t>Home HGOLS4 olajsütő, 2000 W, max. 6 literes olajtartály, rozsdamentes készülékház, 3 sütőkosár</t>
        </is>
      </c>
      <c r="C304" s="1" t="n">
        <v>29790.0</v>
      </c>
      <c r="D304" s="7" t="n">
        <f>HYPERLINK("https://www.somogyi.hu/product/home-hgols4-olajsuto-2000-w-max-6-literes-olajtartaly-rozsdamentes-keszulekhaz-3-sutokosar-hgols4-18932","https://www.somogyi.hu/product/home-hgols4-olajsuto-2000-w-max-6-literes-olajtartaly-rozsdamentes-keszulekhaz-3-sutokosar-hgols4-18932")</f>
        <v>0.0</v>
      </c>
      <c r="E304" s="7" t="n">
        <f>HYPERLINK("https://www.somogyi.hu/data/img/product_main_images/small/18932.jpg","https://www.somogyi.hu/data/img/product_main_images/small/18932.jpg")</f>
        <v>0.0</v>
      </c>
      <c r="F304" s="2" t="inlineStr">
        <is>
          <t>5999084969264</t>
        </is>
      </c>
      <c r="G304" s="4" t="inlineStr">
        <is>
          <t>Szeretne otthon is éttermi minőségű sült ételeket készíteni? A Home HGOLS4 olajsütő minden igényt kielégít, ha egyszerre szeretne gyorsan, hatékonyan és biztonságosan ropogós sült finomságokat varázsolni családja asztalára. 
A 2000 W teljesítményű készülék kiválóan alkalmas nagyobb mennyiségek sütésére, hiszen a 4-6 literes olajtartály lehetővé teszi, hogy egyszerre több adag ételt készítsen, így ideális választás családi összejövetelekhez vagy baráti találkozókhoz. A termosztát szabályozás (115–190 °C) segítségével könnyedén beállíthatja az optimális hőmérsékletet bármilyen ételhez, legyen szó halról, húsokról vagy zöldségekről.
A készülék három sütőkosárral rendelkezik: két kisebb és egy nagyobb kosár biztosítja, hogy egyszerre többféle ételt süthessen, anélkül, hogy azok keverednének. A nikkelezett kosarak tartósak és könnyen kezelhetők, míg a zománcozott sütőtér egyszerűen kivehető, ami jelentősen megkönnyíti a tisztítást. A Home HGOLS4 olajsütő rozsdamentes acél készülékháza és fedele biztosítja a hosszú élettartamot, míg a fedélen található betekintőablak lehetőséget nyújt arra, hogy anélkül ellenőrizze az ételeket, hogy kinyitná a fedelet. A kétrétegű szűrő minimalizálja az olajszagot, így a sütés utáni kellemetlen szagok nem töltik meg a konyhát.
A biztonságot és a kényelmet tovább növeli a „cool touch” hűvös érintésű oldalfal, amely megvédi Önt és családját az égési sérülésektől. A visszajelző fények segítik a sütési folyamat nyomon követését, biztosítva, hogy a készülék mindig a megfelelő hőmérsékleten működjön. A készülék teljesen darabjaira szétszedhető, így minden elemét könnyedén megtisztíthatja, ami a karbantartást és a hosszú távú használatot rendkívül egyszerűvé teszi.
Az 52 cm széles, rozsdamentes acél kialakítás modern megjelenést biztosít a konyhájában, miközben a 220-240V~ tápellátás és a 2000 W teljesítmény garantálja a gyors és egyenletes sütést. A Home HGOLS4 olajsütő mérete ideális közepes és nagyobb családok számára, kompakt kialakítása ellenére nagy kapacitású sütési lehetőséget kínál.
Válassza a Home HGOLS4 olajsütőt, hogy bármikor könnyedén készíthessen tökéletesen ropogós ételeket otthonában! Fedezze fel az egyszerű, gyors és biztonságos sütés örömét most!</t>
        </is>
      </c>
    </row>
    <row r="305">
      <c r="A305" s="6" t="inlineStr">
        <is>
          <t xml:space="preserve">   Háztartási gép, eszköz / Kávéfőző és tartozékok</t>
        </is>
      </c>
      <c r="B305" s="6" t="inlineStr">
        <is>
          <t/>
        </is>
      </c>
      <c r="C305" s="6" t="inlineStr">
        <is>
          <t/>
        </is>
      </c>
      <c r="D305" s="6" t="inlineStr">
        <is>
          <t/>
        </is>
      </c>
      <c r="E305" s="6" t="inlineStr">
        <is>
          <t/>
        </is>
      </c>
      <c r="F305" s="6" t="inlineStr">
        <is>
          <t/>
        </is>
      </c>
      <c r="G305" s="6" t="inlineStr">
        <is>
          <t/>
        </is>
      </c>
    </row>
    <row r="306">
      <c r="A306" s="3" t="inlineStr">
        <is>
          <t>11948</t>
        </is>
      </c>
      <c r="B306" s="2" t="inlineStr">
        <is>
          <t>Szarvasi SZV-624 Unipress kávéfőző 11948, 800 W, 3.04 bar, üveg kiöntő, hőkorlátozó, hőkioldó, fehér</t>
        </is>
      </c>
      <c r="C306" s="1" t="n">
        <v>31390.0</v>
      </c>
      <c r="D306" s="7" t="n">
        <f>HYPERLINK("https://www.somogyi.hu/product/szarvasi-szv-624-unipress-kavefozo-11948-800-w-3-04-bar-uveg-kionto-hokorlatozo-hokioldo-feher-11948-19047","https://www.somogyi.hu/product/szarvasi-szv-624-unipress-kavefozo-11948-800-w-3-04-bar-uveg-kionto-hokorlatozo-hokioldo-feher-11948-19047")</f>
        <v>0.0</v>
      </c>
      <c r="E306" s="7" t="n">
        <f>HYPERLINK("https://www.somogyi.hu/data/img/product_main_images/small/19047.jpg","https://www.somogyi.hu/data/img/product_main_images/small/19047.jpg")</f>
        <v>0.0</v>
      </c>
      <c r="F306" s="2" t="inlineStr">
        <is>
          <t>5995305610090</t>
        </is>
      </c>
      <c r="G306" s="4" t="inlineStr">
        <is>
          <t>Szeretne egy olyan kávéfőzőt, amely egyszerre kényelmes, biztonságos és hatékony? A Szarvasi SZV-624 Unipress kávéfőző tökéletes választás azok számára, akik gyorsan és egyszerűen szeretnének kiváló minőségű kávét készíteni, akár 2-6 adag dupla kávét is egyidejűleg. 
A 800 W-os teljesítmény és a 3.04 bar szivattyú nyomás biztosítja, hogy a kávéja mindig friss és aromás legyen. A skálázott üveg kiöntő megkönnyíti a pontos adagolást, míg a hőálló műanyag burkolat védi Önt és környezetét a túlmelegedéstől. Az eszköz egyszerűen kezelhető, hiszen őrölt kávéval működik, így nem kell különleges kávékapszulákat beszerezni. A biztonságra sem kell figyelnie, hiszen a biztonsági szelepes zárócsavar, a hőkorlátozó és a hőkioldó megóvja a készüléket és a felhasználót az esetleges balesetektől. Tökéletes választás azoknak, akik nemcsak a kávé minőségére, de a praktikumra és a biztonságra is figyelnek.
Ne hagyja ki a lehetőséget! Fedezze fel a kávézás új szintjét ezzel a modern, letisztult, fehér dizájnnal rendelkező kávéfőzővel, és élvezze minden reggel a friss kávé ízét!</t>
        </is>
      </c>
    </row>
    <row r="307">
      <c r="A307" s="3" t="inlineStr">
        <is>
          <t>HG PR 06/K</t>
        </is>
      </c>
      <c r="B307" s="2" t="inlineStr">
        <is>
          <t>Home HG PR 06/K üvegkiöntő a HG PR 06 eszpesszó kávéfőzőhöz</t>
        </is>
      </c>
      <c r="C307" s="1" t="n">
        <v>3190.0</v>
      </c>
      <c r="D307" s="7" t="n">
        <f>HYPERLINK("https://www.somogyi.hu/product/home-hg-pr-06-k-uvegkionto-a-hg-pr-06-eszpesszo-kavefozohoz-hg-pr-06-k-15960","https://www.somogyi.hu/product/home-hg-pr-06-k-uvegkionto-a-hg-pr-06-eszpesszo-kavefozohoz-hg-pr-06-k-15960")</f>
        <v>0.0</v>
      </c>
      <c r="E307" s="7" t="n">
        <f>HYPERLINK("https://www.somogyi.hu/data/img/product_main_images/small/15960.jpg","https://www.somogyi.hu/data/img/product_main_images/small/15960.jpg")</f>
        <v>0.0</v>
      </c>
      <c r="F307" s="2" t="inlineStr">
        <is>
          <t>5999084939946</t>
        </is>
      </c>
      <c r="G307" s="4" t="inlineStr">
        <is>
          <t>Mennyire bosszantó lehet, ha egy kiváló minőségű kávéfőzőhöz nem talál megfelelő pótalkatrészt? A Home HG PR 06/K üvegkiöntő pontosan az ön Home HG PR 06 eszpresszó kávéfőzőjéhez lett tervezve. 
Az üvegkiöntő kifinomult dizájnnal rendelkezik, mely nem csak esztétikailag illik a kávéfőzőhöz, hanem garantálja a hőszigetelést és a biztonságos kiöntést is. A kialakításának köszönhetően ez az üvegkiöntő ellenáll a hőnek és a napi használatnak, így hosszú időn keresztül megbízható társa lehet reggeli kávéja elkészítésében. Töltse meg ismét illatokkal konyháját és kezdje napját egy tökéletes csésze kávéval. 
Az HG PR 06/K üvegkiöntővel a kávézás sosem szakad félbe. Ne hagyja, hogy egy eltört üvegkiöntő megszakítsa a napi rituáléját, rendelje meg most pótlásul vagy tartalékként!</t>
        </is>
      </c>
    </row>
    <row r="308">
      <c r="A308" s="3" t="inlineStr">
        <is>
          <t>MA-D1502AW</t>
        </is>
      </c>
      <c r="B308" s="2" t="inlineStr">
        <is>
          <t>Midea MA-D1502AW kávéfőző, 1000 W, 1,25 literes, melegentartó talapzat, Pause 'n Serve funkció, fehér-fekete</t>
        </is>
      </c>
      <c r="C308" s="1" t="n">
        <v>14290.0</v>
      </c>
      <c r="D308" s="7" t="n">
        <f>HYPERLINK("https://www.somogyi.hu/product/midea-ma-d1502aw-kavefozo-1000-w-1-25-literes-melegentarto-talapzat-pause-n-serve-funkcio-feher-fekete-ma-d1502aw-17807","https://www.somogyi.hu/product/midea-ma-d1502aw-kavefozo-1000-w-1-25-literes-melegentarto-talapzat-pause-n-serve-funkcio-feher-fekete-ma-d1502aw-17807")</f>
        <v>0.0</v>
      </c>
      <c r="E308" s="7" t="n">
        <f>HYPERLINK("https://www.somogyi.hu/data/img/product_main_images/small/17807.jpg","https://www.somogyi.hu/data/img/product_main_images/small/17807.jpg")</f>
        <v>0.0</v>
      </c>
      <c r="F308" s="2" t="inlineStr">
        <is>
          <t>6939962756097</t>
        </is>
      </c>
      <c r="G308" s="4" t="inlineStr">
        <is>
          <t>Szeretne egyszerre akár 10 csésze friss kávét készíteni, amely minden alkalommal tökéletes? A Midea MA-D1502AW kávéfőző kiváló választás mindazok számára, akik nagyobb mennyiségű kávét szeretnének készíteni egyszerre, anélkül, hogy kompromisszumot kellene kötniük a minőség terén. Ez a 1000 W teljesítményű készülék 1,25 literes kapacitással rendelkezik, ami akár 10 csésze kávé elkészítését is lehetővé teszi.
Miért válassza a Midea MA-D1502AW kávéfőzőt?
A kávéfőző kivehető műanyag szűrővel rendelkezik, ami megkönnyíti a tisztítást és a karbantartást. A Pause 'n Serve funkció lehetővé teszi, hogy a kiöntő kivételekor automatikusan zárjon a szelep, így elkerülheti a kávé kifolyását. A készülék beépített vízmérővel rendelkezik, amely pontos feltöltést biztosít minden egyes alkalommal.
Kiemelkedő funkciók:
Melegen tartó talapzat: A kávé mindig forró marad, amíg készen áll arra, hogy élvezze.
Egyszerű használat: A be- és kikapcsoló gomb visszajelző fénnyel van ellátva, így mindig tudni fogja, hogy a készülék működik-e.
Nagy kapacitás: Az 1,25 literes kapacitás akár 10 csésze kávé elkészítését is lehetővé teszi, így ideális választás családi összejövetelekre vagy irodai használatra.
Kompakt méret: A 26,5 x 17 x 33 cm-es méretű készülék könnyedén elfér bármilyen konyhapulton.
Könnyű súly: A mindössze 1,61 kg-os tömegének köszönhetően a kávéfőző könnyen mozgatható és tárolható.
További előnyök: A Midea MA-D1502AW kávéfőző 220 - 240 V-os tápellátással működik, és a 50 - 60 Hz-es frekvenciatartomány biztosítja a megbízható és stabil működést. Az egyszerű, letisztult dizájn minden konyhai környezetbe tökéletesen illeszkedik.
Ne várjon tovább! Szerezze be a Midea MA-D1502AW kávéfőzőt még ma, és élvezze a tökéletes kávé élményét otthonában, minden nap!</t>
        </is>
      </c>
    </row>
    <row r="309">
      <c r="A309" s="3" t="inlineStr">
        <is>
          <t>CF 037</t>
        </is>
      </c>
      <c r="B309" s="2" t="inlineStr">
        <is>
          <t>Pedrini CF 037 kávéfőző, 4 személyes, olasz design, rozsdamentes, indukciós és hagyományos gáztűzhelyen is használható</t>
        </is>
      </c>
      <c r="C309" s="1" t="n">
        <v>11490.0</v>
      </c>
      <c r="D309" s="7" t="n">
        <f>HYPERLINK("https://www.somogyi.hu/product/pedrini-cf-037-kavefozo-4-szemelyes-olasz-design-rozsdamentes-indukcios-es-hagyomanyos-gaztuzhelyen-is-hasznalhato-cf-037-17839","https://www.somogyi.hu/product/pedrini-cf-037-kavefozo-4-szemelyes-olasz-design-rozsdamentes-indukcios-es-hagyomanyos-gaztuzhelyen-is-hasznalhato-cf-037-17839")</f>
        <v>0.0</v>
      </c>
      <c r="E309" s="7" t="n">
        <f>HYPERLINK("https://www.somogyi.hu/data/img/product_main_images/small/17839.jpg","https://www.somogyi.hu/data/img/product_main_images/small/17839.jpg")</f>
        <v>0.0</v>
      </c>
      <c r="F309" s="2" t="inlineStr">
        <is>
          <t>883336406773</t>
        </is>
      </c>
      <c r="G309" s="4" t="inlineStr">
        <is>
          <t>Olasz kávéélményre vágyik, amit otthonában is bármikor élvezhet? A Pedrini CF 037 kávéfőző kiváló választás mindazok számára, akik szeretik a klasszikus olasz design és a minőségi kávé egyedi kombinációját. 
Ez a rozsdamentes acélból készült, elegáns kávéfőző tökéletesen illeszkedik bármilyen konyhai környezetbe, miközben egyszerűen kezelhető és tartós. A Pedrini CF 037 kávéfőző 4 személyre készült, így akár egy kisebb család számára is gyorsan és egyszerűen elkészíthető vele a reggeli kávé. A kávéfőző egyik legnagyobb előnye a sokoldalú használat: nemcsak hagyományos gáztűzhelyen, hanem indukciós főzőlapon is működik, így modern konyhában is helytáll. A készülék hőálló fogantyúja biztonságos fogást és kényelmes használatot biztosít, még magas hőmérséklet mellett is. Az autentikus olasz kávéfőzés élményét biztosító Pedrini CF 037 egyesíti a hagyományos kialakítást a modern funkciókkal, így Ön is minden nap elmerülhet a frissen főzött kávé aromájában. 
Legyen része az igazi olasz kávézás rituáléjában ezzel a stílusos és megbízható kávéfőzővel, és élvezze az ízek gazdagságát otthonában – a Pedrini CF 037 kávéfőző a tökéletes választás a kávé szerelmeseinek!</t>
        </is>
      </c>
    </row>
    <row r="310">
      <c r="A310" s="3" t="inlineStr">
        <is>
          <t>11958</t>
        </is>
      </c>
      <c r="B310" s="2" t="inlineStr">
        <is>
          <t>Szarvasi SZV-612/3 Mini Espresso kávéfőző 11958, 800 W, 3.04 bar, üveg kiöntő, hőkorlátozó, hőkioldó, barna</t>
        </is>
      </c>
      <c r="C310" s="1" t="n">
        <v>31390.0</v>
      </c>
      <c r="D310" s="7" t="n">
        <f>HYPERLINK("https://www.somogyi.hu/product/szarvasi-szv-612-3-mini-espresso-kavefozo-11958-800-w-3-04-bar-uveg-kionto-hokorlatozo-hokioldo-barna-11958-19049","https://www.somogyi.hu/product/szarvasi-szv-612-3-mini-espresso-kavefozo-11958-800-w-3-04-bar-uveg-kionto-hokorlatozo-hokioldo-barna-11958-19049")</f>
        <v>0.0</v>
      </c>
      <c r="E310" s="7" t="n">
        <f>HYPERLINK("https://www.somogyi.hu/data/img/product_main_images/small/19049.jpg","https://www.somogyi.hu/data/img/product_main_images/small/19049.jpg")</f>
        <v>0.0</v>
      </c>
      <c r="F310" s="2" t="inlineStr">
        <is>
          <t>5995305610038</t>
        </is>
      </c>
      <c r="G310" s="4" t="inlineStr">
        <is>
          <t>Szeretne egy olyan kávéfőzőt, amely egyszerre kényelmes, biztonságos és hatékony? A Szarvasi SZV-612/3 Mini Espresso kávéfőző tökéletes választás azok számára, akik gyorsan és egyszerűen szeretnének kiváló minőségű kávét készíteni, akár 2-6 adag dupla kávét is egyidejűleg. 
A 800 W-os teljesítmény és a 3.04 bar szivattyú nyomás biztosítja, hogy a kávéja mindig friss és aromás legyen. A skálázott üveg kiöntő megkönnyíti a pontos adagolást, míg a hőálló műanyag burkolat védi Önt és környezetét a túlmelegedéstől. Az eszköz egyszerűen kezelhető, hiszen őrölt kávéval működik, így nem kell különleges kávékapszulákat beszerezni. A biztonságra sem kell figyelnie, hiszen a biztonsági szelepes zárócsavar, a hőkorlátozó és a hőkioldó megóvja a készüléket és a felhasználót az esetleges balesetektől. Tökéletes választás azoknak, akik nemcsak a kávé minőségére, de a praktikumra és a biztonságra is figyelnek.
Ne hagyja ki a lehetőséget! Fedezze fel a kávézás új szintjét ezzel a modern, letisztult, barna dizájnnal rendelkező kávéfőzővel, és élvezze minden reggel a friss kávé ízét!</t>
        </is>
      </c>
    </row>
    <row r="311">
      <c r="A311" s="3" t="inlineStr">
        <is>
          <t>11959</t>
        </is>
      </c>
      <c r="B311" s="2" t="inlineStr">
        <is>
          <t>Szarvasi SZV-612/3 Mini Espresso kávéfőző 11959, 800 W, 3.04 bar, üveg kiöntő, hőkorlátozó, hőkioldó, szürke</t>
        </is>
      </c>
      <c r="C311" s="1" t="n">
        <v>31390.0</v>
      </c>
      <c r="D311" s="7" t="n">
        <f>HYPERLINK("https://www.somogyi.hu/product/szarvasi-szv-612-3-mini-espresso-kavefozo-11959-800-w-3-04-bar-uveg-kionto-hokorlatozo-hokioldo-szurke-11959-19050","https://www.somogyi.hu/product/szarvasi-szv-612-3-mini-espresso-kavefozo-11959-800-w-3-04-bar-uveg-kionto-hokorlatozo-hokioldo-szurke-11959-19050")</f>
        <v>0.0</v>
      </c>
      <c r="E311" s="7" t="n">
        <f>HYPERLINK("https://www.somogyi.hu/data/img/product_main_images/small/19050.jpg","https://www.somogyi.hu/data/img/product_main_images/small/19050.jpg")</f>
        <v>0.0</v>
      </c>
      <c r="F311" s="2" t="inlineStr">
        <is>
          <t>5995305610045</t>
        </is>
      </c>
      <c r="G311" s="4" t="inlineStr">
        <is>
          <t>Szeretne egy olyan kávéfőzőt, amely egyszerre kényelmes, biztonságos és hatékony? A Szarvasi SZV-612/3 Mini Espresso kávéfőző tökéletes választás azok számára, akik gyorsan és egyszerűen szeretnének kiváló minőségű kávét készíteni, akár 2-6 adag dupla kávét is egyidejűleg. 
A 800 W-os teljesítmény és a 3.04 bar szivattyú nyomás biztosítja, hogy a kávéja mindig friss és aromás legyen. A skálázott üveg kiöntő megkönnyíti a pontos adagolást, míg a hőálló műanyag burkolat védi Önt és környezetét a túlmelegedéstől. Az eszköz egyszerűen kezelhető, hiszen őrölt kávéval működik, így nem kell különleges kávékapszulákat beszerezni. A biztonságra sem kell figyelnie, hiszen a biztonsági szelepes zárócsavar, a hőkorlátozó és a hőkioldó megóvja a készüléket és a felhasználót az esetleges balesetektől. Tökéletes választás azoknak, akik nemcsak a kávé minőségére, de a praktikumra és a biztonságra is figyelnek.
Ne hagyja ki a lehetőséget! Fedezze fel a kávézás új szintjét ezzel a modern, letisztult, szürke dizájnnal rendelkező kávéfőzővel, és élvezze minden reggel a friss kávé ízét!</t>
        </is>
      </c>
    </row>
    <row r="312">
      <c r="A312" s="3" t="inlineStr">
        <is>
          <t>33280</t>
        </is>
      </c>
      <c r="B312" s="2" t="inlineStr">
        <is>
          <t>Szarvasi SZV-612/3 Mini Espresso kávéfőző 33280, 800 W, 3.04 bar, üveg kiöntő, hőkorlátozó, hőkioldó, narancssárga</t>
        </is>
      </c>
      <c r="C312" s="1" t="n">
        <v>31390.0</v>
      </c>
      <c r="D312" s="7" t="n">
        <f>HYPERLINK("https://www.somogyi.hu/product/szarvasi-szv-612-3-mini-espresso-kavefozo-33280-800-w-3-04-bar-uveg-kionto-hokorlatozo-hokioldo-narancssarga-33280-19051","https://www.somogyi.hu/product/szarvasi-szv-612-3-mini-espresso-kavefozo-33280-800-w-3-04-bar-uveg-kionto-hokorlatozo-hokioldo-narancssarga-33280-19051")</f>
        <v>0.0</v>
      </c>
      <c r="E312" s="7" t="n">
        <f>HYPERLINK("https://www.somogyi.hu/data/img/product_main_images/small/19051.jpg","https://www.somogyi.hu/data/img/product_main_images/small/19051.jpg")</f>
        <v>0.0</v>
      </c>
      <c r="F312" s="2" t="inlineStr">
        <is>
          <t>5995305610601</t>
        </is>
      </c>
      <c r="G312" s="4" t="inlineStr">
        <is>
          <t>Szeretne egy olyan kávéfőzőt, amely egyszerre kényelmes, biztonságos és hatékony? A Szarvasi SZV-612/3 Mini Espresso kávéfőző tökéletes választás azok számára, akik gyorsan és egyszerűen szeretnének kiváló minőségű kávét készíteni, akár 2-6 adag dupla kávét is egyidejűleg. 
A 800 W-os teljesítmény és a 3.04 bar szivattyú nyomás biztosítja, hogy a kávéja mindig friss és aromás legyen. A skálázott üveg kiöntő megkönnyíti a pontos adagolást, míg a hőálló műanyag burkolat védi Önt és környezetét a túlmelegedéstől. Az eszköz egyszerűen kezelhető, hiszen őrölt kávéval működik, így nem kell különleges kávékapszulákat beszerezni. A biztonságra sem kell figyelnie, hiszen a biztonsági szelepes zárócsavar, a hőkorlátozó és a hőkioldó megóvja a készüléket és a felhasználót az esetleges balesetektől. Tökéletes választás azoknak, akik nemcsak a kávé minőségére, de a praktikumra és a biztonságra is figyelnek.
Ne hagyja ki a lehetőséget! Fedezze fel a kávézás új szintjét ezzel a modern, letisztult, narancssárga dizájnnal rendelkező kávéfőzővel, és élvezze minden reggel a friss kávé ízét!</t>
        </is>
      </c>
    </row>
    <row r="313">
      <c r="A313" s="3" t="inlineStr">
        <is>
          <t>HG PR 20</t>
        </is>
      </c>
      <c r="B313" s="2" t="inlineStr">
        <is>
          <t>Home HG PR 20 eszpresszó kávéfőző, 1350 W, akár 2 csésze, csészemelegítő, tejhabosítóval akár cappuccino, érintőgombos, rozsdamentes szűrő, 1.4 liter tartály</t>
        </is>
      </c>
      <c r="C313" s="1" t="n">
        <v>39990.0</v>
      </c>
      <c r="D313" s="7" t="n">
        <f>HYPERLINK("https://www.somogyi.hu/product/home-hg-pr-20-eszpresszo-kavefozo-1350-w-akar-2-csesze-cseszemelegito-tejhabositoval-akar-cappuccino-erintogombos-rozsdamentes-szuro-1-4-liter-tartaly-hg-pr-20-17623","https://www.somogyi.hu/product/home-hg-pr-20-eszpresszo-kavefozo-1350-w-akar-2-csesze-cseszemelegito-tejhabositoval-akar-cappuccino-erintogombos-rozsdamentes-szuro-1-4-liter-tartaly-hg-pr-20-17623")</f>
        <v>0.0</v>
      </c>
      <c r="E313" s="7" t="n">
        <f>HYPERLINK("https://www.somogyi.hu/data/img/product_main_images/small/17623.jpg","https://www.somogyi.hu/data/img/product_main_images/small/17623.jpg")</f>
        <v>0.0</v>
      </c>
      <c r="F313" s="2" t="inlineStr">
        <is>
          <t>5999084956455</t>
        </is>
      </c>
      <c r="G313" s="4" t="inlineStr">
        <is>
          <t>Szeretne otthon is tökéletes eszpresszót és kapucsínót készíteni? A Home HG PR 20 eszpresszó kávéfőző ideális választás mindazoknak, akik a kávéházi élményt szeretnék átélni saját otthonukban. Ez a 1350 W teljesítményű készülék alkalmas egy vagy két csésze eszpresszó kávé elkészítésére, valamint gőzölő funkcióval is rendelkezik, hogy kapucsínót is könnyedén készíthessen.
Miért válassza a Home HG PR 20 eszpresszó kávéfőzőt?
A Home HG PR 20 eszpresszó kávéfőző 20 bar nyomással biztosítja, hogy minden egyes csésze kávé intenzív ízű és aromájú legyen. Az érintőgombos vezérlés egyszerű és kényelmes használatot tesz lehetővé, míg a rozsdamentes szűrők két különböző méretben is rendelkezésre állnak, így minden igényt kielégítenek. A csészemelegítővel mindig optimális hőmérsékleten tarthatja kávéscsészéit, így a kávé sosem hűl ki túl gyorsan.
Kiemelkedő funkciók:
Gőzölő funkció és tejhabosító: Készítsen tökéletes kapucsínót a beépített tejhabosítóval, amely levehető fúvókával rendelkezik a könnyű tisztítás érdekében.
Kivehető csepptálca: Az egyszerű tisztíthatóság érdekében a csepptálca könnyedén eltávolítható és tisztítható.
1,4 literes kivehető víztartály: A nagy kapacitású víztartály hosszabb ideig biztosítja a vízellátást, így kevesebbszer kell újratölteni.
Kompakt méret: A 15,3 x 32,8 x 32 cm-es méretű kávéfőző bármely konyhapulton kényelmesen elfér.
Biztonság és stabilitás: A csúszásmentes talpak biztosítják, hogy a kávéfőző mindig stabilan álljon használat közben.
Fontos információ: Első használat előtt ne felejtse el eltávolítani a piros kupakot a víztartályról!
Ne habozzon! Szerezze be a Home HG PR 20 eszpresszó kávéfőzőt most, és élvezze a tökéletes eszpresszót és kapucsínót otthona kényelmében, minden nap!</t>
        </is>
      </c>
    </row>
    <row r="314">
      <c r="A314" s="3" t="inlineStr">
        <is>
          <t>02CF129</t>
        </is>
      </c>
      <c r="B314" s="2" t="inlineStr">
        <is>
          <t>Pedrini Infinity Rock kávéfőző, 6 személyes, fekete, alumínium kivitel</t>
        </is>
      </c>
      <c r="C314" s="1" t="n">
        <v>13890.0</v>
      </c>
      <c r="D314" s="7" t="n">
        <f>HYPERLINK("https://www.somogyi.hu/product/pedrini-infinity-rock-kavefozo-6-szemelyes-fekete-aluminium-kivitel-02cf129-18325","https://www.somogyi.hu/product/pedrini-infinity-rock-kavefozo-6-szemelyes-fekete-aluminium-kivitel-02cf129-18325")</f>
        <v>0.0</v>
      </c>
      <c r="E314" s="7" t="n">
        <f>HYPERLINK("https://www.somogyi.hu/data/img/product_main_images/small/18325.jpg","https://www.somogyi.hu/data/img/product_main_images/small/18325.jpg")</f>
        <v>0.0</v>
      </c>
      <c r="F314" s="2" t="inlineStr">
        <is>
          <t>883336419247</t>
        </is>
      </c>
      <c r="G314" s="4" t="inlineStr">
        <is>
          <t>Gondolt már arra, hogy milyen lenne minden reggel tökéletes olasz kávét főzni otthonában? A Pedrini Infinity Rock kávéfőzővel nem csak a kávézás lesz élmény, hanem maga a kávéfőzés is!
Ez a stílusos, olasz dizájnnal rendelkező kávéfőző, mely hat személy számára készít kávét, ideális választás minden kávérajongó számára. Az élelmiszer-biztonsági alumíniumból készült szerkezet kiemelkedő minőséget és tartósságot garantál, míg a csillogó hatású lakk bevonat ellenáll a magas hőmérsékleteknek. A hőálló fogantyú biztosítja, hogy a kávéfőzőt biztonságosan kezelje akár 210°C-on is, míg az élelmiszer-biztonsági szilikon tömítés megakadályozza a levegő szivárgását, így a kávé mindig friss és aromás marad.
A kávéfőző 100%-ban vezérelt biztonsági szelepe tovább növeli a használat biztonságát, így ön nyugodtan élvezheti a kávézás minden pillanatát. A vonzó fekete szín és a modern formavilág nemcsak szemet gyönyörködtető, de bármilyen konyhába tökéletesen illeszkedik.
Ne hagyja ki a lehetőséget, hogy a Pedrini Infinity Rock kávéfőzővel hiteles olasz kávézás élményét otthonába varázsolja! Rendelje meg most, és tegye reggeleit felejthetetlenné ezzel a kivételes kávéfőzővel!</t>
        </is>
      </c>
    </row>
    <row r="315">
      <c r="A315" s="3" t="inlineStr">
        <is>
          <t>13757</t>
        </is>
      </c>
      <c r="B315" s="2" t="inlineStr">
        <is>
          <t>Szarvasi SZV-624 Unipress kávéfőző 13757, 800 W, 3.04 bar, üveg kiöntő, hőkorlátozó, hőkioldó, szürke</t>
        </is>
      </c>
      <c r="C315" s="1" t="n">
        <v>31390.0</v>
      </c>
      <c r="D315" s="7" t="n">
        <f>HYPERLINK("https://www.somogyi.hu/product/szarvasi-szv-624-unipress-kavefozo-13757-800-w-3-04-bar-uveg-kionto-hokorlatozo-hokioldo-szurke-13757-19048","https://www.somogyi.hu/product/szarvasi-szv-624-unipress-kavefozo-13757-800-w-3-04-bar-uveg-kionto-hokorlatozo-hokioldo-szurke-13757-19048")</f>
        <v>0.0</v>
      </c>
      <c r="E315" s="7" t="n">
        <f>HYPERLINK("https://www.somogyi.hu/data/img/product_main_images/small/19048.jpg","https://www.somogyi.hu/data/img/product_main_images/small/19048.jpg")</f>
        <v>0.0</v>
      </c>
      <c r="F315" s="2" t="inlineStr">
        <is>
          <t>5995305610267</t>
        </is>
      </c>
      <c r="G315" s="4" t="inlineStr">
        <is>
          <t>Szeretne egy olyan kávéfőzőt, amely egyszerre kényelmes, biztonságos és hatékony? A Szarvasi SZV-624 Unipress kávéfőző tökéletes választás azok számára, akik gyorsan és egyszerűen szeretnének kiváló minőségű kávét készíteni, akár 2-6 adag dupla kávét is egyidejűleg. 
A 800 W-os teljesítmény és a 3.04 bar szivattyú nyomás biztosítja, hogy a kávéja mindig friss és aromás legyen. A skálázott üveg kiöntő megkönnyíti a pontos adagolást, míg a hőálló műanyag burkolat védi Önt és környezetét a túlmelegedéstől. Az eszköz egyszerűen kezelhető, hiszen őrölt kávéval működik, így nem kell különleges kávékapszulákat beszerezni. A biztonságra sem kell figyelnie, hiszen a biztonsági szelepes zárócsavar, a hőkorlátozó és a hőkioldó megóvja a készüléket és a felhasználót az esetleges balesetektől. Tökéletes választás azoknak, akik nemcsak a kávé minőségére, de a praktikumra és a biztonságra is figyelnek.
Ne hagyja ki a lehetőséget! Fedezze fel a kávézás új szintjét ezzel a modern, letisztult, szürke dizájnnal rendelkező kávéfőzővel, és élvezze minden reggel a friss kávé ízét!</t>
        </is>
      </c>
    </row>
    <row r="316">
      <c r="A316" s="3" t="inlineStr">
        <is>
          <t>13760</t>
        </is>
      </c>
      <c r="B316" s="2" t="inlineStr">
        <is>
          <t>Szarvasi CAFE BRILL (SZV-623) kávéfőző, 800 W, fekete színű, őrölt kávé főzésére, 304 kPa nyomás, időzítő, max. 6 személy részére</t>
        </is>
      </c>
      <c r="C316" s="1" t="n">
        <v>29990.0</v>
      </c>
      <c r="D316" s="7" t="n">
        <f>HYPERLINK("https://www.somogyi.hu/product/szarvasi-cafe-brill-szv-623-kavefozo-800-w-fekete-szinu-orolt-kave-fozesere-304-kpa-nyomas-idozito-max-6-szemely-reszere-13760-19359","https://www.somogyi.hu/product/szarvasi-cafe-brill-szv-623-kavefozo-800-w-fekete-szinu-orolt-kave-fozesere-304-kpa-nyomas-idozito-max-6-szemely-reszere-13760-19359")</f>
        <v>0.0</v>
      </c>
      <c r="E316" s="7" t="n">
        <f>HYPERLINK("https://www.somogyi.hu/data/img/product_main_images/small/19359.jpg","https://www.somogyi.hu/data/img/product_main_images/small/19359.jpg")</f>
        <v>0.0</v>
      </c>
      <c r="F316" s="2" t="inlineStr">
        <is>
          <t>5995305610212</t>
        </is>
      </c>
      <c r="G316" s="4" t="inlineStr">
        <is>
          <t>Milyen lenne a reggele, ha már az ébresztő előtt elkészülne a kávé? 
A Szarvasi CAFE BRILL (SZV-623) kávéfőző éppen ezt kínálja: kényelmet, megbízhatóságot és igazi klasszikus kávéélményt, mindezt időzítő funkcióval, hogy a reggeli rohanás közben is a frissen főzött kávé illata fogadja. A készülék fekete színe elegáns megjelenést kölcsönöz a konyhának, miközben a magyar gyártású Szarvasi technológia gondoskodik a kiváló minőségről.
Kompakt erő és hatékonyság egyben 
Ez a manuális eszpresszógép akár 6 adag dupla kávé elkészítésére is alkalmas, így nemcsak egyedülállók, hanem családok számára is tökéletes választás. A 304 kPa (3,04 bar) névleges nyomás és a 36 g őrölt kávé befogadására alkalmas tartály lehetővé teszi az intenzív ízek és aromák kibontakoztatását. A 400 ml víztartály elegendő a több adaghoz, így nem szükséges minden használatnál újratölteni.
Praktikus funkciók a mindennapokhoz 
A kávéfőző skálázott üvegkiöntővel érkezik, amely megkönnyíti az adagolást. A beépített időzítő kapcsolóval akár előre be is állítható a kávékészítés kezdete, így minden reggel egy friss, gőzölgő ital fogadja. A készülék biztonsági szempontból is megbízható: hőfokszabályzóval, hőkioldóval és biztonsági szeleppel van felszerelve, hogy mindig gondtalanul élvezhesse a használatot.
Miért érdemes a Szarvasi CAFE BRILL (SZV-623) kávéfőző mellett dönteni?
- Akár 6 adag dupla kávé készítésére alkalmas
- Előre programozható időzítő kapcsoló
- 800 W-os teljesítmény a gyors felfűtéshez
- 3,04 bar nyomás az intenzív kávéaromákért
- Skálázott üvegkiöntő és pontos adagolás
- Biztonsági funkciók: hőkorlátozó, hőkioldó, szelep 
- Elegáns fekete szín, magyar gyártás
Indítsa a napot egy gombnyomással – válassza a Szarvasi CAFE BRILL kávéfőzőt, és élvezze a friss, forró kávé kényelmét minden reggel, kompromisszumok nélkül!</t>
        </is>
      </c>
    </row>
    <row r="317">
      <c r="A317" s="3" t="inlineStr">
        <is>
          <t>11951</t>
        </is>
      </c>
      <c r="B317" s="2" t="inlineStr">
        <is>
          <t>Szarvasi UNIPRESS SZV-624 kávéfőző, 800W, fekete színű, őrölt kávé főzésére, 4 bar nyomás, max. 6 személy részére</t>
        </is>
      </c>
      <c r="C317" s="1" t="n">
        <v>31390.0</v>
      </c>
      <c r="D317" s="7" t="n">
        <f>HYPERLINK("https://www.somogyi.hu/product/szarvasi-unipress-szv-624-kavefozo-800w-fekete-szinu-orolt-kave-fozesere-4-bar-nyomas-max-6-szemely-reszere-11951-19357","https://www.somogyi.hu/product/szarvasi-unipress-szv-624-kavefozo-800w-fekete-szinu-orolt-kave-fozesere-4-bar-nyomas-max-6-szemely-reszere-11951-19357")</f>
        <v>0.0</v>
      </c>
      <c r="E317" s="7" t="n">
        <f>HYPERLINK("https://www.somogyi.hu/data/img/product_main_images/small/19357.jpg","https://www.somogyi.hu/data/img/product_main_images/small/19357.jpg")</f>
        <v>0.0</v>
      </c>
      <c r="F317" s="2" t="inlineStr">
        <is>
          <t>5995305610106</t>
        </is>
      </c>
      <c r="G317" s="4" t="inlineStr">
        <is>
          <t>Kávézás otthon, kompromisszumok nélkül? Hogyan készíthet gyorsan és egyszerűen eszpresszót akár hat főre is, bonyolult beállítások nélkül?
 A Szarvasi UNIPRESS SZV-624 kávéfőző ideális választás azok számára, akik szeretik a klasszikus, zamatos kávé ízét, és ezt kényelmesen, saját otthonukban szeretnék élvezni. Letisztult megjelenése, megbízható teljesítménye és praktikus funkciói garantálják, hogy minden csésze egyformán tökéletes legyen – minden nap.
Praktikus kialakítás, egyszerű használat 
A készülék őrölt kávéval működik, így szabadon választható a kedvenc kávéfajta, a végeredmény pedig mindig az ízlésének megfelelő lesz. A manuális vezérlés lehetővé teszi a személyes beállításokat, ugyanakkor könnyű kezelhetőséget biztosít azok számára is, akik gyors, gondtalan kávéfőzést keresnek.
A 0,6 literes víztartály és a skálázott üveg kiöntő edény segítségével akár 6 csésze eszpresszó is készíthető egyszerre, így ideális választás családi reggelekhez vagy vendégváráshoz. A csepegésmentes rendszer biztosítja a tiszta munkafelületet, míg a jelzőfény és a vízszint mutató tovább egyszerűsíti a használatot.
Kompakt, mégis megbízható teljesítmény 
A 800 wattos teljesítmény és a 4 bar nyomás együttesen garantálják, hogy a lefőzött kávé aromás, gazdag és kellően erős legyen. A készülék egy hőmérsékleti fokozattal dolgozik, így kizárható a túlmelegítés vagy az ízvesztés lehetősége. A csúszásgátló rendszerrel ellátott talp pedig biztonságos használatot kínál minden helyzetben.
Miért válassza a Szarvasi UNIPRESS SZV-624 kávéfőzőt?
- Őrölt kávéval használható, teljes ízélményt biztosít
- Egyszerre akár 6 személy részére is főzhető kávé
- Csepegésmentes rendszerrel, vízszintjelzővel és jelzőfénnyel felszerelve
- Kompakt méret, elegáns fekete színű kivitel
- 800 W teljesítmény, 4 bar nyomás a gazdag aromáért
- Tartós, könnyen kezelhető műanyag készülékház
- Skálázott üvegkiöntő a pontos adagolásért
Tegye élménnyé a reggeli kávézást – válassza a Szarvasi UNIPRESS SZV-624 kávéfőzőt, és élvezze az otthon készült, friss eszpresszó minden cseppjét, kompromisszumok nélkül!</t>
        </is>
      </c>
    </row>
    <row r="318">
      <c r="A318" s="3" t="inlineStr">
        <is>
          <t>35306</t>
        </is>
      </c>
      <c r="B318" s="2" t="inlineStr">
        <is>
          <t>Szarvasi MINI ESPRESSO (SZV-612/3) kávéfőző, 800 W, bordó színű, őrölt kávé főzésére, 3,04 bar nyomás, max. 6 személy részére</t>
        </is>
      </c>
      <c r="C318" s="1" t="n">
        <v>31390.0</v>
      </c>
      <c r="D318" s="7" t="n">
        <f>HYPERLINK("https://www.somogyi.hu/product/szarvasi-mini-espresso-szv-612-3-kavefozo-800-w-bordo-szinu-orolt-kave-fozesere-3-04-bar-nyomas-max-6-szemely-reszere-35306-19358","https://www.somogyi.hu/product/szarvasi-mini-espresso-szv-612-3-kavefozo-800-w-bordo-szinu-orolt-kave-fozesere-3-04-bar-nyomas-max-6-szemely-reszere-35306-19358")</f>
        <v>0.0</v>
      </c>
      <c r="E318" s="7" t="n">
        <f>HYPERLINK("https://www.somogyi.hu/data/img/product_main_images/small/19358.jpg","https://www.somogyi.hu/data/img/product_main_images/small/19358.jpg")</f>
        <v>0.0</v>
      </c>
      <c r="F318" s="2" t="inlineStr">
        <is>
          <t>5995305620365</t>
        </is>
      </c>
      <c r="G318" s="4" t="inlineStr">
        <is>
          <t>Hogyan élvezhető a klasszikus magyar eszpresszó élmény otthoni környezetben, kompromisszumok nélkül? 
A Szarvasi MINI ESPRESSO (SZV-612/3) kávéfőző a magyar gyártású kávékészítők méltán népszerű képviselője, amely tökéletes társ a mindennapokban, ha friss, aromás, forró kávéra vágyik. Megbízható működése, egyszerű kezelhetősége és elegáns bordó színe igazán stílusos és praktikus kiegészítővé teszi bármelyik konyhában.
Hatékony és praktikus kávékészítés 
Ez a manuális kávéfőző akár 6 adag dupla eszpresszó egyidejű elkészítésére is alkalmas, így ideális választás lehet nagyobb családoknak vagy vendéglátáshoz is. A 3,04 bar nyomású szivattyú biztosítja a kellő erőt a tökéletes ízvilág kibontakoztatásához, míg a 800 W-os teljesítmény gyors felfűtést garantál, így nem kell hosszasan várakozni a frissítő italra.
A skálázott üvegkiöntő segít az adagok pontos kimérésében, a hőálló műanyag burkolat pedig biztonságos és kényelmes használatot kínál. A biztonsági szelepes zárócsavar, a beépített hőkorlátozó és hőkioldó funkciók mind a felhasználó védelmét szolgálják, így minden alkalommal nyugodtan élvezheti a kávékészítés élményét.
Stílusos megjelenés, magyar minőség 
A bordó színű kivitel nemcsak karakteres megjelenést biztosít, hanem otthonossá is teszi a készüléket. A Szarvasi kávéfőző a magyar háztartások kedvence – nem véletlenül. Tartós, megbízható és egyszerűen használható, mindemellett letisztult dizájnjával kiválóan illik bármilyen konyhai enteriőrbe.
Miért érdemes a Szarvasi MINI ESPRESSO (SZV-612/3) kávéfőzőt választani?
- Egyszerre akár 2–6 adag eszpresszó készíthető vele
- Megbízható 3,04 bar nyomású szivattyú a gazdag aroma érdekében
- 800 W-os teljesítmény a gyors felfűtésért
- Biztonsági funkciók: zárócsavar, hőkorlátozó, hőkioldó
- Skálázott üvegkiöntő a pontos adagoláshoz
- Elegáns bordó szín és kompakt kialakítás
Tegye különlegessé a reggeli kávézást – válassza a Szarvasi MINI ESPRESSO kávéfőzőt, és élvezze az igazi eszpresszó ízét otthona kényelméből, minden nap!</t>
        </is>
      </c>
    </row>
    <row r="319">
      <c r="A319" s="3" t="inlineStr">
        <is>
          <t>10-104-007</t>
        </is>
      </c>
      <c r="B319" s="2" t="inlineStr">
        <is>
          <t>NAVA 10-104-007 kávékiöntő, 600 ml űrtartalom, gáz-, elektromos, kerámia- és halogén tűzhelyekhez</t>
        </is>
      </c>
      <c r="C319" s="1" t="n">
        <v>4590.0</v>
      </c>
      <c r="D319" s="7" t="n">
        <f>HYPERLINK("https://www.somogyi.hu/product/nava-10-104-007-kavekionto-600-ml-urtartalom-gaz-elektromos-keramia-es-halogen-tuzhelyekhez-10-104-007-17683","https://www.somogyi.hu/product/nava-10-104-007-kavekionto-600-ml-urtartalom-gaz-elektromos-keramia-es-halogen-tuzhelyekhez-10-104-007-17683")</f>
        <v>0.0</v>
      </c>
      <c r="E319" s="7" t="n">
        <f>HYPERLINK("https://www.somogyi.hu/data/img/product_main_images/small/17683.jpg","https://www.somogyi.hu/data/img/product_main_images/small/17683.jpg")</f>
        <v>0.0</v>
      </c>
      <c r="F319" s="2" t="inlineStr">
        <is>
          <t>5205746886504</t>
        </is>
      </c>
      <c r="G319" s="4" t="inlineStr">
        <is>
          <t>Egy kávékiöntőt keres, amelyben kivételes minőségben és stílusban készítheti el reggeli kávéját? A NAVA 10-104-007 kávékiöntő tökéletes választás lehet!
Ez a 0,6 literes kávékiöntő prémium minőségű alumíniumból készült, amelyet ötrétegű, tapadásmentes kőbevonat borít, biztosítva ezzel a hosszú távú használatot és a magas hőmérsékletekkel szembeni ellenállást. A gyártás során környezetbarát módszerekre és PFOA-mentes anyagokra helyeztünk hangsúlyt, így Ön nyugodt lehet afelől, hogy a termék kíméli környezetünket.
Az ergonómikus, fa hatású fogantyú kialakítása nem csupán esztétikus, hanem praktikus is, hiszen hűvös marad még hosszantartó használat során is. A kávékiöntő sima felülete könnyen tisztítható, és kompatibilis gáz-, elektromos-, kerámia- és halogén főzőfelületekkel egyaránt. Az aljának 7 cm-es átmérője optimalizálja a hőeloszlást, így a kávé egyenletesen és gyorsan készül el.
Használata előtt egyszerűen csak mosogassa el szappanos, meleg vízzel, és kerülje a durva tisztítóeszközök használatát, hogy megőrizhesse a bevonat integritását. Ne melegítse túl, és ne hagyja üresen a tűzhelyen a kiöntőt, hogy elkerülje az esetleges károsodásokat. A kávékiöntő mosogatógépben is tisztítható, így a tisztán tartása sem jelent majd gondot.
Válassza a NAVA 10-104-007 kávékiöntőt, hogy minden napja ízletes, aromás kávéval induljon! Kényeztesse magát és szeretteit ezzel a kiváló minőségű, stílusos konyhai eszközzel, amely garantáltan élménnyé teszi a kávézást. Tegye a kosarába még ma!</t>
        </is>
      </c>
    </row>
    <row r="320">
      <c r="A320" s="3" t="inlineStr">
        <is>
          <t>HG PR 06</t>
        </is>
      </c>
      <c r="B320" s="2" t="inlineStr">
        <is>
          <t>Home HG PR 06 eszpesszó kávéfőző, teljesítmény: 800 W, 3,5 bar nyomás, alkalmas 4 csésze kávé elkészítéséhez, tejhabosítóval,</t>
        </is>
      </c>
      <c r="C320" s="1" t="n">
        <v>21890.0</v>
      </c>
      <c r="D320" s="7" t="n">
        <f>HYPERLINK("https://www.somogyi.hu/product/home-hg-pr-06-eszpesszo-kavefozo-teljesitmeny-800-w-3-5-bar-nyomas-alkalmas-4-csesze-kave-elkeszitesehez-tejhabositoval-hg-pr-06-15959","https://www.somogyi.hu/product/home-hg-pr-06-eszpesszo-kavefozo-teljesitmeny-800-w-3-5-bar-nyomas-alkalmas-4-csesze-kave-elkeszitesehez-tejhabositoval-hg-pr-06-15959")</f>
        <v>0.0</v>
      </c>
      <c r="E320" s="7" t="n">
        <f>HYPERLINK("https://www.somogyi.hu/data/img/product_main_images/small/15959.jpg","https://www.somogyi.hu/data/img/product_main_images/small/15959.jpg")</f>
        <v>0.0</v>
      </c>
      <c r="F320" s="2" t="inlineStr">
        <is>
          <t>5999084939939</t>
        </is>
      </c>
      <c r="G320" s="4" t="inlineStr">
        <is>
          <t>Szeretne otthon is élvezni a kávéházi minőségű eszpresszót és kapucsínót? A Home HG PR 06 eszpresszó kávéfőző tökéletes választás mindazok számára, akik a reggeli kávézás élményét otthonuk kényelmében szeretnék átélni. Ez az 800 W teljesítményű készülék akár négy csésze kávé elkészítésére is képes, így Ön és családja mindig frissen főzött, aromás kávéval indíthatja a napot.
Többféle kávéfajta készítése: Az eszpresszó mellett kapucsínó is készíthető, így bármilyen kávéízlést ki tud elégíteni.
Gőzölő funkció: A beépített gőzölő segítségével tökéletes tejhabot készíthet, amely ideális kapucsínóhoz vagy latte-hoz.
Biztonság és kényelem: A túlmelegedés elleni védelem biztosítja, hogy a készülék hosszú élettartamú és biztonságos legyen a használata. A kivehető csepptálca pedig megkönnyíti a tisztítást.
Erőteljes nyomás: A 3,5 bar nyomás garantálja, hogy a kávé mindig optimális ízű és állagú legyen.
Stabilitás és praktikum: A csúszásmentes talpak stabil tartást biztosítanak, míg a vezetéktároló rendet tart a konyhában.
Kompakt méret: A készülék kompakt mérete (17 x 32 x 23,5 cm) és könnyű súlya (1,8 kg) miatt kis helyen is elfér, így bármilyen konyhában praktikus.
További előnyök: Az üvegkiöntő eltörése esetén sem kell aggódnia, mivel a hozzá tartozó HG PR 06/K üvegkancsó megvásárolható, így bármikor könnyedén pótolhatja azt.
Ne várjon tovább! Szerezze be a Home HG PR 06 eszpresszó kávéfőzőt még ma, és élvezze a kávéházi élményt saját otthonában, minden nap!</t>
        </is>
      </c>
    </row>
    <row r="321">
      <c r="A321" s="3" t="inlineStr">
        <is>
          <t>02CF116</t>
        </is>
      </c>
      <c r="B321" s="2" t="inlineStr">
        <is>
          <t>Pedrini Infinity Passion kávéfőző, 6 személyes, piros, alumínium kivitel</t>
        </is>
      </c>
      <c r="C321" s="1" t="n">
        <v>9990.0</v>
      </c>
      <c r="D321" s="7" t="n">
        <f>HYPERLINK("https://www.somogyi.hu/product/pedrini-infinity-passion-kavefozo-6-szemelyes-piros-aluminium-kivitel-02cf116-18330","https://www.somogyi.hu/product/pedrini-infinity-passion-kavefozo-6-szemelyes-piros-aluminium-kivitel-02cf116-18330")</f>
        <v>0.0</v>
      </c>
      <c r="E321" s="7" t="n">
        <f>HYPERLINK("https://www.somogyi.hu/data/img/product_main_images/small/18330.jpg","https://www.somogyi.hu/data/img/product_main_images/small/18330.jpg")</f>
        <v>0.0</v>
      </c>
      <c r="F321" s="2" t="inlineStr">
        <is>
          <t>883336417397</t>
        </is>
      </c>
      <c r="G321" s="4" t="inlineStr">
        <is>
          <t>Gondolt már arra, hogy milyen lenne minden reggel tökéletes olasz kávét főzni otthonában? A Pedrini Infinity Passion kávéfőzővel nem csak a kávézás lesz élmény, hanem maga a kávéfőzés is!
Ez a stílusos, olasz dizájnnal rendelkező kávéfőző, mely hat személy számára készít kávét, ideális választás minden kávérajongó számára. Az élelmiszer-biztonsági alumíniumból készült szerkezet kiemelkedő minőséget és tartósságot garantál, míg a csillogó hatású lakk bevonat ellenáll a magas hőmérsékleteknek. A hőálló fogantyú biztosítja, hogy a kávéfőzőt biztonságosan kezelje akár 210°C-on is, míg az élelmiszer-biztonsági szilikon tömítés megakadályozza a levegő szivárgását, így a kávé mindig friss és aromás marad.
A kávéfőző 100%-ban vezérelt biztonsági szelepe tovább növeli a használat biztonságát, így ön nyugodtan élvezheti a kávézás minden pillanatát. A vonzó piros szín és a modern formavilág nemcsak szemet gyönyörködtető, de bármilyen konyhába tökéletesen illeszkedik.
Ne hagyja ki a lehetőséget, hogy a Pedrini Infinity Passion kávéfőzővel hiteles olasz kávézás élményét otthonába varázsolja! Rendelje meg most, és tegye reggeleit felejthetetlenné ezzel a kivételes kávéfőzővel!</t>
        </is>
      </c>
    </row>
    <row r="322">
      <c r="A322" s="3" t="inlineStr">
        <is>
          <t>32862</t>
        </is>
      </c>
      <c r="B322" s="2" t="inlineStr">
        <is>
          <t>Szarvasi SZV-612/3 Mini Espresso kávéfőző 11959, 800 W, 3.04 bar, üveg kiöntő, hőkorlátozó, hőkioldó, fekete</t>
        </is>
      </c>
      <c r="C322" s="1" t="n">
        <v>31390.0</v>
      </c>
      <c r="D322" s="7" t="n">
        <f>HYPERLINK("https://www.somogyi.hu/product/szarvasi-szv-612-3-mini-espresso-kavefozo-11959-800-w-3-04-bar-uveg-kionto-hokorlatozo-hokioldo-fekete-32862-19136","https://www.somogyi.hu/product/szarvasi-szv-612-3-mini-espresso-kavefozo-11959-800-w-3-04-bar-uveg-kionto-hokorlatozo-hokioldo-fekete-32862-19136")</f>
        <v>0.0</v>
      </c>
      <c r="E322" s="7" t="n">
        <f>HYPERLINK("https://www.somogyi.hu/data/img/product_main_images/small/19136.jpg","https://www.somogyi.hu/data/img/product_main_images/small/19136.jpg")</f>
        <v>0.0</v>
      </c>
      <c r="F322" s="2" t="inlineStr">
        <is>
          <t>5995305610557</t>
        </is>
      </c>
      <c r="G322" s="4" t="inlineStr">
        <is>
          <t>Olyan megbízható és kompakt kávéfőzőt keres, amely tökéletesen illeszkedik a modern életviteléhez?
A Szarvasi SZV-612/3 Mini Espresso kávéfőző ideális választás mindazok számára, akik otthonukban is szeretnék élvezni a minőségi eszpresszó élményét. Az 800 W teljesítmény, a 3,04 bar nyomás, valamint a biztonságos és praktikus kialakítás biztosítja, hogy minden csésze kávé pontosan olyan legyen, amilyennek elképzelte.
Praktikus funkciók a tökéletes kávéért
A Szarvasi kávéfőző egyszerre 2-6 adag dupla kávé elkészítésére képes, így ideális választás egyedülállóknak, pároknak és kisebb családoknak egyaránt. A készülék őrölt kávéval használható, amely lehetőséget ad arra, hogy a kávé ízét és erősségét saját preferenciái szerint állítsa be.
A 3,04 bar nyomás garantálja, hogy az elkészült eszpresszó gazdag aromájú és krémes állagú legyen, akár minden egyes alkalommal. A skálázott üveg kiöntő segítségével egyszerűen mérheti ki a megfelelő mennyiséget, így a kávéfőzés mindig pontos és kényelmes.
Biztonság és megbízhatóság
A készülék hőálló műanyag burkolattal rendelkezik, amely nemcsak elegáns fekete megjelenést kölcsönöz a kávéfőzőnek, de védi is a használókat az esetleges égési sérülésektől. A biztonsági szelepes zárócsavar, a hőkorlátozó, valamint a hőkioldó további védelmet nyújt, hogy a készülék mindig biztonságosan működjön, akár napi használat mellett is.
Kompakt dizájn és egyszerű használat
A kávéfőző kompakt kialakítása lehetővé teszi, hogy kisebb konyhákban is könnyedén elférjen, miközben a letisztult fekete szín modern és elegáns megjelenést biztosít. A készülék egyszerű kezelhetősége miatt akár kezdők számára is ideális választás, hiszen minden funkció könnyen elérhető és gyorsan megtanulható.
Miért érdemes a Szarvasi SZV-612/3 Mini Espresso kávéfőzőt választani?
– Erőteljes teljesítmény: 800 W és 3,04 bar nyomás az ízletes és aromás kávékért. – Praktikus kapacitás: Egyszerre akár 6 adag dupla kávé elkészítésére alkalmas. – Biztonságos kialakítás: Hőálló burkolat, biztonsági szelepes zárócsavar és hőkioldó a zavartalan használat érdekében. – Kompakt és elegáns: Modern fekete dizájn, amely minden konyhában jól mutat. – Egyszerű használat: Skálázott üveg kiöntő és intuitív kezelhetőség.
Élvezze az eszpresszó készítés élményét otthonában a Szarvasi SZV-612/3 Mini Espresso kávéfőzővel, és kényeztesse magát minden nap egy tökéletes csésze kávéval!</t>
        </is>
      </c>
    </row>
    <row r="323">
      <c r="A323" s="3" t="inlineStr">
        <is>
          <t>HG KV 06/K</t>
        </is>
      </c>
      <c r="B323" s="2" t="inlineStr">
        <is>
          <t>Home HG KV 06/K kávéfőző kiöntő Home HG KV 06 kávéfőzőhöz</t>
        </is>
      </c>
      <c r="C323" s="1" t="n">
        <v>3790.0</v>
      </c>
      <c r="D323" s="7" t="n">
        <f>HYPERLINK("https://www.somogyi.hu/product/home-hg-kv-06-k-kavefozo-kionto-home-hg-kv-06-kavefozohoz-hg-kv-06-k-14979","https://www.somogyi.hu/product/home-hg-kv-06-k-kavefozo-kionto-home-hg-kv-06-kavefozohoz-hg-kv-06-k-14979")</f>
        <v>0.0</v>
      </c>
      <c r="E323" s="7" t="n">
        <f>HYPERLINK("https://www.somogyi.hu/data/img/product_main_images/small/14979.jpg","https://www.somogyi.hu/data/img/product_main_images/small/14979.jpg")</f>
        <v>0.0</v>
      </c>
      <c r="F323" s="2" t="inlineStr">
        <is>
          <t>5999084930134</t>
        </is>
      </c>
      <c r="G323" s="4" t="inlineStr">
        <is>
          <t>A HG KV 06/K Üveg kiöntő a HG KV 06 típusú kávéfőzőhöz vásárolható meg. Űrtartalma 1 liter. Az Üveg kancsó hőszigetelt fogantyúval ellátott.</t>
        </is>
      </c>
    </row>
    <row r="324">
      <c r="A324" s="3" t="inlineStr">
        <is>
          <t>ESCM15DBK</t>
        </is>
      </c>
      <c r="B324" s="2" t="inlineStr">
        <is>
          <t>Gorenje ESCM15DBK digitális eszpresszó kávéfőző, 15 bar, érintőgombok, 1,5 literes tartáy, 1100W</t>
        </is>
      </c>
      <c r="C324" s="1" t="n">
        <v>50590.0</v>
      </c>
      <c r="D324" s="7" t="n">
        <f>HYPERLINK("https://www.somogyi.hu/product/gorenje-escm15dbk-digitalis-eszpresszo-kavefozo-15-bar-erintogombok-1-5-literes-tartay-1100w-escm15dbk-17657","https://www.somogyi.hu/product/gorenje-escm15dbk-digitalis-eszpresszo-kavefozo-15-bar-erintogombok-1-5-literes-tartay-1100w-escm15dbk-17657")</f>
        <v>0.0</v>
      </c>
      <c r="E324" s="7" t="n">
        <f>HYPERLINK("https://www.somogyi.hu/data/img/product_main_images/small/17657.jpg","https://www.somogyi.hu/data/img/product_main_images/small/17657.jpg")</f>
        <v>0.0</v>
      </c>
      <c r="F324" s="2" t="inlineStr">
        <is>
          <t>3838782463778</t>
        </is>
      </c>
      <c r="G324" s="4" t="inlineStr">
        <is>
          <t>Vajon hogyan készíthetne otthon is professzionális minőségű eszpresszót vagy kapucsínót? A Gorenje ESCM15DBK digitális eszpresszó kávéfőző kiváló választás mindazok számára, akik az otthoni kávézás élményét a legmagasabb szintre szeretnék emelni. Ez a 1100 W teljesítményű készülék egy vagy két csésze eszpresszó kávé elkészítésére is alkalmas, és számos fejlett funkcióval rendelkezik, hogy a kávékészítés minden egyes lépése tökéletes legyen.
Miért válassza a Gorenje ESCM15DBK kávéfőzőt?
A Gorenje ESCM15DBK kávéfőző 15 bar nyomású nagynyomású szivattyúval rendelkezik, amely biztosítja, hogy minden csésze kávé intenzív ízű és gazdag aromájú legyen. Az érintőgombos vezérlés könnyedén kezelhetővé teszi a készüléket, míg a manuális gőzfunkció segítségével tökéletes tejhabot készíthet kapucsínójához. A kivehető csepptálca egyszerűvé teszi a tisztítást, így mindig higiénikus környezetet biztosíthat.
Kiemelkedő funkciók:
Túlmelegedés és túlnyomás elleni védelem: Biztosítja a készülék biztonságos használatát minden körülmények között.
1,5 literes víztartály: Nagy kapacitásának köszönhetően ritkábban szükséges újratölteni, így időt és energiát takarít meg.
Nagy nyomású habosító funkció: A manuális gőzfunkcióval tökéletes tejhabot készíthet, legyen szó eszpresszóról vagy kapucsínóról.
Rozsdamentes alumínium szűrők: Kétféle szűrő (1 és 2 csésze) biztosítja a tökéletes kávéadagot minden alkalommal.
Alumínium ötvözetű kazán: Tartós és megbízható, biztosítva a hosszú élettartamot és a pontos hőmérsékletszabályozást.
Kompakt méret: A készülék 27,4 × 30 × 27,2 cm méretű, így könnyedén elfér bármilyen konyhapulton.
További előnyök: A kávéfőző 230 V-os tápellátással működik, és a 50 Hz-es frekvenciatartomány biztosítja a stabil és megbízható működést. Az állítható gőzképzési gomb segítségével könnyedén szabályozhatja a gőz intenzitását, hogy minden kávéélmény tökéletes legyen.
Ne habozzon! Szerezze be a Gorenje ESCM15DBK digitális eszpresszó kávéfőzőt még ma, és élvezze a professzionális kávékészítés örömét saját otthonában minden nap!</t>
        </is>
      </c>
    </row>
    <row r="325">
      <c r="A325" s="6" t="inlineStr">
        <is>
          <t xml:space="preserve">   Háztartási gép, eszköz / Szendvicssütő, gofrisütő</t>
        </is>
      </c>
      <c r="B325" s="6" t="inlineStr">
        <is>
          <t/>
        </is>
      </c>
      <c r="C325" s="6" t="inlineStr">
        <is>
          <t/>
        </is>
      </c>
      <c r="D325" s="6" t="inlineStr">
        <is>
          <t/>
        </is>
      </c>
      <c r="E325" s="6" t="inlineStr">
        <is>
          <t/>
        </is>
      </c>
      <c r="F325" s="6" t="inlineStr">
        <is>
          <t/>
        </is>
      </c>
      <c r="G325" s="6" t="inlineStr">
        <is>
          <t/>
        </is>
      </c>
    </row>
    <row r="326">
      <c r="A326" s="3" t="inlineStr">
        <is>
          <t>HGOS19</t>
        </is>
      </c>
      <c r="B326" s="2" t="inlineStr">
        <is>
          <t>Home HGOS19 ostyasütő és tölcsérsütő, 1000 W, sajtostallér sütő, 19 cm, sajtos sütő</t>
        </is>
      </c>
      <c r="C326" s="1" t="n">
        <v>9790.0</v>
      </c>
      <c r="D326" s="7" t="n">
        <f>HYPERLINK("https://www.somogyi.hu/product/home-hgos19-ostyasuto-es-tolcsersuto-1000-w-sajtostaller-suto-19-cm-sajtos-suto-hgos19-18481","https://www.somogyi.hu/product/home-hgos19-ostyasuto-es-tolcsersuto-1000-w-sajtostaller-suto-19-cm-sajtos-suto-hgos19-18481")</f>
        <v>0.0</v>
      </c>
      <c r="E326" s="7" t="n">
        <f>HYPERLINK("https://www.somogyi.hu/data/img/product_main_images/small/18481.jpg","https://www.somogyi.hu/data/img/product_main_images/small/18481.jpg")</f>
        <v>0.0</v>
      </c>
      <c r="F326" s="2" t="inlineStr">
        <is>
          <t>5999084964993</t>
        </is>
      </c>
      <c r="G326" s="4" t="inlineStr">
        <is>
          <t>Szeretne otthon is friss, ropogós ostyákat vagy sajtos tallérokat készíteni? A Home HGOS19 ostyasütő és tölcsérsütő a tökéletes választás, ha szereti a házi készítésű finomságokat. 
Ezzel a praktikus készülékkel 19 cm átmérőjű ostyákat süthet, amelyeket melegen tölcsérré alakíthat a tartozék kúppal. Emellett kiválóan alkalmas sajtos tallérok sütésére is, így sokoldalúan használható a konyhában. A Home HGOS19 automata fogantyúzárral van ellátva, amely biztosítja a biztonságos használatot. Az áram alatt és sütésre kész jelzőfények mindig pontosan tájékoztatják a készülék állapotáról, így nem kell találgatnia, mikor van készen az ostya. A tapadásmentes sütőfelület nemcsak megkönnyíti a sütést, hanem a tisztítást is gyerekjátékká teszi.
A készülék csúszásmentes talpakkal rendelkezik, amelyek stabilitást biztosítanak a használat során. A helytakarékosság jegyében függőlegesen is tárolható, és a vezetéktartóval rendezetten tarthatja a kábelt. Mérete 19,5x11x25 cm, így kompakt és könnyen elhelyezhető bármely konyhában.
Ne habozzon, válassza a Home HGOS19 ostyasütőt és tölcsérsütőt, és élvezze a házi készítésű ostyák és tallérok varázsát! Rendelje meg most, és lepje meg családját és barátait ínycsiklandó finomságokkal!</t>
        </is>
      </c>
    </row>
    <row r="327">
      <c r="A327" s="3" t="inlineStr">
        <is>
          <t>HG GS 21</t>
        </is>
      </c>
      <c r="B327" s="2" t="inlineStr">
        <is>
          <t>Home HG GS 21 gofrisütő, teljesítmény 750 W, tapadásmentes sütőfelület, egyszerre két gofri készíthető</t>
        </is>
      </c>
      <c r="C327" s="1" t="n">
        <v>9490.0</v>
      </c>
      <c r="D327" s="7" t="n">
        <f>HYPERLINK("https://www.somogyi.hu/product/home-hg-gs-21-gofrisuto-teljesitmeny-750-w-tapadasmentes-sutofelulet-egyszerre-ket-gofri-keszitheto-hg-gs-21-16578","https://www.somogyi.hu/product/home-hg-gs-21-gofrisuto-teljesitmeny-750-w-tapadasmentes-sutofelulet-egyszerre-ket-gofri-keszitheto-hg-gs-21-16578")</f>
        <v>0.0</v>
      </c>
      <c r="E327" s="7" t="n">
        <f>HYPERLINK("https://www.somogyi.hu/data/img/product_main_images/small/16578.jpg","https://www.somogyi.hu/data/img/product_main_images/small/16578.jpg")</f>
        <v>0.0</v>
      </c>
      <c r="F327" s="2" t="inlineStr">
        <is>
          <t>5999084946104</t>
        </is>
      </c>
      <c r="G327" s="4" t="inlineStr">
        <is>
          <t>Ki ne álmodott volna otthon, frissen sült gofriról egy hétvégi reggelinél? A Home HG GS 21 gofrisütő ezt az álmot váltja valóra, és még ennél is többet nyújt. Az eszköz 750 W-os teljesítménye révén egyszerre két ropogós, ínycsiklandó gofrit készíthet, mindezt hatékonyan és gyorsan.
Az áram alatt és a sütésre kész állapotot jelzőfényeknek köszönhetően mindig pontosan tudja, mikor kezdheti el a sütést. A tapadásmentes sütőfelület nemcsak garantálja a tökéletes végeredményt, hanem a tisztítást is rendkívül egyszerűvé teszi. Ezen kívül a kompakt méret (22x7,5x23cm) lehetővé teszi, hogy a készülék könnyedén elférjen bármelyik konyhai polcon vagy szekrényben.
Fedezze fel a frissen sült gofri örömét és varázsoljon mosolyt szerettei arcára a Home HG GS 21 gofrisütővel! Ne hagyja ki ezt az ízletes kalandot!</t>
        </is>
      </c>
    </row>
    <row r="328">
      <c r="A328" s="3" t="inlineStr">
        <is>
          <t>HGOS4</t>
        </is>
      </c>
      <c r="B328" s="2" t="inlineStr">
        <is>
          <t>Home HGOS4 ostyasütő és sajtos tallér sütő, 1200 W, rozsdamentes burkolat, jelzőfények, 160–235 °C</t>
        </is>
      </c>
      <c r="C328" s="1" t="n">
        <v>15490.0</v>
      </c>
      <c r="D328" s="7" t="n">
        <f>HYPERLINK("https://www.somogyi.hu/product/home-hgos4-ostyasuto-es-sajtos-taller-suto-1200-w-rozsdamentes-burkolat-jelzofenyek-160-235-c-hgos4-19017","https://www.somogyi.hu/product/home-hgos4-ostyasuto-es-sajtos-taller-suto-1200-w-rozsdamentes-burkolat-jelzofenyek-160-235-c-hgos4-19017")</f>
        <v>0.0</v>
      </c>
      <c r="E328" s="7" t="n">
        <f>HYPERLINK("https://www.somogyi.hu/data/img/product_main_images/small/19017.jpg","https://www.somogyi.hu/data/img/product_main_images/small/19017.jpg")</f>
        <v>0.0</v>
      </c>
      <c r="F328" s="2" t="inlineStr">
        <is>
          <t>5999084970116</t>
        </is>
      </c>
      <c r="G328" s="4" t="inlineStr">
        <is>
          <t>Hogyan varázsolhat egyszerűen házi ostyát vagy sajtos tallért saját konyhájában?
A Home HGOS4 ostyasütő és sajtos tallér sütő tökéletes választás, ha frissen sült, ropogós ostyára vagy ízletes sajtos tallérra vágyik. 1200 W teljesítményével és precíz termosztátjával ez a készülék gyors és egyenletes sütést biztosít, így minden alkalommal tökéletes eredményt érhet el.
Egyszerre négy ostya vagy sajtos tallér sütése
A Home HGOS4 sütő négy darab, 11 cm átmérőjű ostya egyidejű elkészítésére alkalmas, így egyszerre több adagot is süthet, legyen szó családi reggeliről vagy vendégváró finomságról. A készülék sajtos tallér sütésére is tökéletesen használható, így változatos ételeket készíthet vele.
Állítható hőmérséklet a tökéletes sütésért
A 160 – 235 °C között állítható termosztát lehetővé teszi, hogy mindig az adott recepthez és ízléséhez igazíthassa a hőmérsékletet. Ez biztosítja, hogy az ostya vagy tallér pontosan olyan állagú legyen, amilyennek szeretné – ropogós vagy kissé puhább, attól függően, mennyi ideig sütötte.
Rozsdamentes acél burkolat és praktikus kialakítás
A készülék strapabíró, rozsdamentes burkolattal rendelkezik, amely nemcsak esztétikus megjelenést kölcsönöz, hanem hosszú távú tartósságot is biztosít. A sütésre kész és áram alatt jelzőfények segítenek a könnyű használatban, így mindig pontosan tudni fogja, mikor kezdheti el a sütést.
Tapadásmentes sütőfelület a könnyű tisztításért
A tapadásmentes sütőlapoknak köszönhetően az ostyák és tallérok nem ragadnak le, így egyszerűen eltávolíthatók a készülékről. Ez a kialakítás megkönnyíti a tisztítást is, hiszen elegendő egy nedves törlőkendővel áttörölni a sütőlapokat a használat után.
Biztonságos és kényelmes használat
A csúszásmentes talpak stabil tartást biztosítanak a konyhapulton, így a készülék használata teljesen biztonságos. A praktikus vezetéktartó pedig segít abban, hogy a készülék könnyen tárolható legyen, amikor éppen nincs használatban.
Miért érdemes a Home HGOS4 ostyasütőt választani?
- Egyszerre négy darab, 11 cm átmérőjű ostya vagy tallér készíthető
- 160 – 235 °C között állítható termosztát a tökéletes állag eléréséhez
- Erős, 1200 W teljesítmény az egyenletes és gyors sütésért
- Tapadásmentes sütőfelület, amely könnyen tisztítható
- Rozsdamentes burkolat a tartósság és elegáns megjelenés érdekében
- Jelzőfények a könnyebb használatért
- Csúszásmentes talpak és vezetéktartó a biztonságos és praktikus tárolásért
Varázsoljon házi finomságokat gyorsan és egyszerűen! A Home HGOS4 ostyasütő segítségével könnyedén elkészítheti kedvenc ostyáit vagy sajtos tallérjait – mindig frissen és ropogósan, pontosan úgy, ahogy szereti!</t>
        </is>
      </c>
    </row>
    <row r="329">
      <c r="A329" s="3" t="inlineStr">
        <is>
          <t>HG SZ 04</t>
        </is>
      </c>
      <c r="B329" s="2" t="inlineStr">
        <is>
          <t>Home HG SZ 04 szendvicssütő, 750W, tapadásmentes sütőfelület, fehér</t>
        </is>
      </c>
      <c r="C329" s="1" t="n">
        <v>7290.0</v>
      </c>
      <c r="D329" s="7" t="n">
        <f>HYPERLINK("https://www.somogyi.hu/product/home-hg-sz-04-szendvicssuto-750w-tapadasmentes-sutofelulet-feher-hg-sz-04-18271","https://www.somogyi.hu/product/home-hg-sz-04-szendvicssuto-750w-tapadasmentes-sutofelulet-feher-hg-sz-04-18271")</f>
        <v>0.0</v>
      </c>
      <c r="E329" s="7" t="n">
        <f>HYPERLINK("https://www.somogyi.hu/data/img/product_main_images/small/18271.jpg","https://www.somogyi.hu/data/img/product_main_images/small/18271.jpg")</f>
        <v>0.0</v>
      </c>
      <c r="F329" s="2" t="inlineStr">
        <is>
          <t>5999084962937</t>
        </is>
      </c>
      <c r="G329" s="4" t="inlineStr">
        <is>
          <t>Keres egy gyors és praktikus megoldást a reggeli vagy az uzsonna elkészítésére? A Home HG SZ 04 szendvicssütő ideális választás minden háztartásba!
Ez a készülék 750 W teljesítménnyel rendelkezik, ami lehetővé teszi, hogy gyorsan és hatékonyan készítsen finom szendvicseket. A szendvicssütő segítségével egyszerre két szendvicset is készíthet, így akár családi reggelikhez vagy baráti összejövetelekhez is tökéletes.
A készülék kialakítása magában foglal áram alatt és sütésre kész állapotot jelző fényeket, amelyek segítenek a sütési folyamat könnyű nyomon követésében. A tapadásmentes sütőfelület biztosítja, hogy szendvicsei könnyen eltávolíthatóak legyenek, és a tisztítás is egyszerű és gyors legyen. A praktikus vezetéktartó lehetővé teszi, hogy a szendvicssütőt rendezetten tárolja, ha éppen nem használja.
A Home HG SZ 04 szendvicssütő kompakt méretének (22,2 x 9,5 x 22,1 cm) köszönhetően könnyen elfér a konyhában, és nem foglal sok helyet.
Ne várjon tovább! Tegye reggelijeit és snackjeit egyszerűvé és élvezetessé a Home HG SZ 04 szendvicssütővel, amely gyors, hatékony és könnyen tisztítható megoldást kínál a mindennapokra.</t>
        </is>
      </c>
    </row>
    <row r="330">
      <c r="A330" s="3" t="inlineStr">
        <is>
          <t>HG P 01</t>
        </is>
      </c>
      <c r="B330" s="2" t="inlineStr">
        <is>
          <t>Home HG P 01 panini szendvicssütő, teljesítmény 750 W, tapadásmentes sütőfelület, jelzőfények</t>
        </is>
      </c>
      <c r="C330" s="1" t="n">
        <v>8090.0</v>
      </c>
      <c r="D330" s="7" t="n">
        <f>HYPERLINK("https://www.somogyi.hu/product/home-hg-p-01-panini-szendvicssuto-teljesitmeny-750-w-tapadasmentes-sutofelulet-jelzofenyek-hg-p-01-16860","https://www.somogyi.hu/product/home-hg-p-01-panini-szendvicssuto-teljesitmeny-750-w-tapadasmentes-sutofelulet-jelzofenyek-hg-p-01-16860")</f>
        <v>0.0</v>
      </c>
      <c r="E330" s="7" t="n">
        <f>HYPERLINK("https://www.somogyi.hu/data/img/product_main_images/small/16860.jpg","https://www.somogyi.hu/data/img/product_main_images/small/16860.jpg")</f>
        <v>0.0</v>
      </c>
      <c r="F330" s="2" t="inlineStr">
        <is>
          <t>5999084948924</t>
        </is>
      </c>
      <c r="G330" s="4" t="inlineStr">
        <is>
          <t>Szeretné egyszerűen és gyorsan elkészíteni a tökéletes panini szendvicset? A Home HG P 01 panini szendvicssütő tökéletes megoldás az otthoni szendvicskészítéshez. 
A 750 W teljesítményű készülék lehetővé teszi, hogy pillanatok alatt elkészüljön az ízletes szendvics, akár egyszerre két kisebb, vagy egy nagyméretű szendvicset is süthet vele. Az áram alatt és sütésre kész jelzőfények segítenek a sütési folyamat nyomon követésében, így mindig tudni fogja, mikor érte el a sütő az ideális hőmérsékletet.
A tapadásmentes sütőfelület garantálja, hogy a szendvicsek nem ragadnak le, és könnyen kiemelhetők a sütőből, ami jelentősen megkönnyíti a tisztítást is. A kompakt méret (23x9x21 cm) lehetővé teszi, hogy a készülék kis helyet foglaljon a konyhapulton vagy a szekrényben. A Home HG P 01 panini szendvicssütővel minden reggel élvezheti a friss, ropogós szendvicseket anélkül, hogy időt és energiát pazarolna.
Ne várjon tovább, szerezze be most a Home HG P 01 panini szendvicssütőt, és varázsoljon minden étkezést különlegessé!</t>
        </is>
      </c>
    </row>
    <row r="331">
      <c r="A331" s="3" t="inlineStr">
        <is>
          <t>HG BG 30</t>
        </is>
      </c>
      <c r="B331" s="2" t="inlineStr">
        <is>
          <t>Home HG BG 30 bubble gofrisütő, teljesítmény 900 W, tapadásmentes sütőfelület, jelzőfények</t>
        </is>
      </c>
      <c r="C331" s="1" t="n">
        <v>9490.0</v>
      </c>
      <c r="D331" s="7" t="n">
        <f>HYPERLINK("https://www.somogyi.hu/product/home-hg-bg-30-bubble-gofrisuto-teljesitmeny-900-w-tapadasmentes-sutofelulet-jelzofenyek-hg-bg-30-17625","https://www.somogyi.hu/product/home-hg-bg-30-bubble-gofrisuto-teljesitmeny-900-w-tapadasmentes-sutofelulet-jelzofenyek-hg-bg-30-17625")</f>
        <v>0.0</v>
      </c>
      <c r="E331" s="7" t="n">
        <f>HYPERLINK("https://www.somogyi.hu/data/img/product_main_images/small/17625.jpg","https://www.somogyi.hu/data/img/product_main_images/small/17625.jpg")</f>
        <v>0.0</v>
      </c>
      <c r="F331" s="2" t="inlineStr">
        <is>
          <t>5999084956479</t>
        </is>
      </c>
      <c r="G331" s="4" t="inlineStr">
        <is>
          <t>Elgondolkodott már azon, hogyan lehetne az otthoni reggeliket vagy desszerteket egyedi és izgalmas módon feldobni? A Home HG BG 30 bubble gofrisütő a válasz!
Ezzel a 900 W teljesítményű eszközzel különleges, hatszögletű bubble-gofrit készíthet, amely 30 finom gofri-buborékból áll, garantálva a ropogós és lágy textúra különleges kombinációját. A sütés folyamatát az áram alatt és a sütésre kész jelzőfényekkel könnyedén nyomon követheti, így mindig pontosan tudhatja, mikor kell a süteményt a sütőtől eltávolítani. A tapadásmentes sütőfelületnek köszönhetően a gofri nem ragad le, a sütő gyorsan és könnyedén tisztítható. A vezetéktárolóval pedig egyszerűen és helytakarékosan tárolhatja a készüléket, ami különösen előnyös kisebb konyhákban vagy korlátozott tárolási lehetőségek mellett.
Tegye még emlékezetesebbé az összejöveteleket vagy a családi pillanatokat a Home HG BG 30 bubble gofrisütővel, és kényeztesse szeretteit frissen sült, buborék gofrikkal!</t>
        </is>
      </c>
    </row>
    <row r="332">
      <c r="A332" s="3" t="inlineStr">
        <is>
          <t>HG GK 04</t>
        </is>
      </c>
      <c r="B332" s="2" t="inlineStr">
        <is>
          <t>Home HG GK 04 gofrikehelysütő, teljesítmény 520 W, tapadásmentes sütőfelület, piros jelzőfény</t>
        </is>
      </c>
      <c r="C332" s="1" t="n">
        <v>7290.0</v>
      </c>
      <c r="D332" s="7" t="n">
        <f>HYPERLINK("https://www.somogyi.hu/product/home-hg-gk-04-gofrikehelysuto-teljesitmeny-520-w-tapadasmentes-sutofelulet-piros-jelzofeny-hg-gk-04-15721","https://www.somogyi.hu/product/home-hg-gk-04-gofrikehelysuto-teljesitmeny-520-w-tapadasmentes-sutofelulet-piros-jelzofeny-hg-gk-04-15721")</f>
        <v>0.0</v>
      </c>
      <c r="E332" s="7" t="n">
        <f>HYPERLINK("https://www.somogyi.hu/data/img/product_main_images/small/15721.jpg","https://www.somogyi.hu/data/img/product_main_images/small/15721.jpg")</f>
        <v>0.0</v>
      </c>
      <c r="F332" s="2" t="inlineStr">
        <is>
          <t>5999084937553</t>
        </is>
      </c>
      <c r="G332" s="4" t="inlineStr">
        <is>
          <t>Hogyan lehetne a reggeliket még különlegesebbé tenni? A Home HG GK 04 gofrikehelysütővel a tökéletes gofri már nem álom. Az 520 W-os teljesítmény garantálja, hogy gyorsan és egyenletesen süljenek a finomságok, ráadásul egyszerre akár négy csésze alakú gofrit is készíthet.
A piros jelzőfény informálja a felhasználót a sütés állapotáról, így mindig tökéletes végeredményt érhet el. A tapadásmentes sütőfelületnek köszönhetően nem kell aggódni a leragadó gofri miatt, és a tisztítás is gyerekjáték. A praktikus vezetéktartó révén rendet és kényelmet biztosíthat a konyhában. Mindezt kompakt méretben, mindössze 16x9x22 cm-ben.
Tegye az étkezéseket különlegessé és élvezze a frissen sült gofrik ízét a Home HG GK 04 gofrikehelysütővel!</t>
        </is>
      </c>
    </row>
    <row r="333">
      <c r="A333" s="6" t="inlineStr">
        <is>
          <t xml:space="preserve">   Háztartási gép, eszköz / Turmix, daráló</t>
        </is>
      </c>
      <c r="B333" s="6" t="inlineStr">
        <is>
          <t/>
        </is>
      </c>
      <c r="C333" s="6" t="inlineStr">
        <is>
          <t/>
        </is>
      </c>
      <c r="D333" s="6" t="inlineStr">
        <is>
          <t/>
        </is>
      </c>
      <c r="E333" s="6" t="inlineStr">
        <is>
          <t/>
        </is>
      </c>
      <c r="F333" s="6" t="inlineStr">
        <is>
          <t/>
        </is>
      </c>
      <c r="G333" s="6" t="inlineStr">
        <is>
          <t/>
        </is>
      </c>
    </row>
    <row r="334">
      <c r="A334" s="3" t="inlineStr">
        <is>
          <t>BSM600E</t>
        </is>
      </c>
      <c r="B334" s="2" t="inlineStr">
        <is>
          <t>Gorenje BSM600E smoothie maker, 320 W, négyes pengerendszer, 2 db kehely, inox</t>
        </is>
      </c>
      <c r="C334" s="1" t="n">
        <v>13990.0</v>
      </c>
      <c r="D334" s="7" t="n">
        <f>HYPERLINK("https://www.somogyi.hu/product/gorenje-bsm600e-smoothie-maker-320-w-negyes-pengerendszer-2-db-kehely-inox-bsm600e-18296","https://www.somogyi.hu/product/gorenje-bsm600e-smoothie-maker-320-w-negyes-pengerendszer-2-db-kehely-inox-bsm600e-18296")</f>
        <v>0.0</v>
      </c>
      <c r="E334" s="7" t="n">
        <f>HYPERLINK("https://www.somogyi.hu/data/img/product_main_images/small/18296.jpg","https://www.somogyi.hu/data/img/product_main_images/small/18296.jpg")</f>
        <v>0.0</v>
      </c>
      <c r="F334" s="2" t="inlineStr">
        <is>
          <t>3838782512803</t>
        </is>
      </c>
      <c r="G334" s="4" t="inlineStr">
        <is>
          <t>Hogyan készíthet gyorsan és egyszerűen friss, egészséges smoothie-kat otthon? A Gorenje BSM600E smoothie maker a tökéletes konyhai eszköz mindazok számára, akik szeretnék gyorsan és egyszerűen elkészíteni kedvenc smoothie-jaikat, turmixokat vagy akár zöldségleveiket. 
A 320 wattos teljesítménye biztosítja, hogy minden hozzávalót könnyedén és hatékonyan pépesít, így mindig tökéletes állagú italokat készíthet pillanatok alatt. Akár reggelire, edzés után vagy egy frissítő délutáni italhoz, ez a készülék az Ön megbízható társa lesz a mindennapokban. A Gorenje smoothie maker kiváló minőségű négyes pengerendszerrel van felszerelve, amely hatékonyan aprítja és keveri össze a gyümölcsöket, zöldségeket vagy akár jeget is, hogy a lehető legsimább és legkrémesebb állagot érje el. 
Az erős pengék és a nagy teljesítmény garantálják, hogy a legkeményebb összetevők is könnyedén feldolgozhatók legyenek, így nincs akadálya annak, hogy egészséges, tápanyagban gazdag italokat készítsen bármikor. A smoothie maker start gombjának köszönhetően a használata rendkívül egyszerű és kényelmes, így akár kezdők számára is tökéletes választás. A készülék két darab hordozható kehellyel érkezik, amelyek lehetővé teszik, hogy az elkészített italokat azonnal magával vihesse. Ezek a praktikus kelyhek közvetlenül a géphez illeszthetők, így közvetlenül a kehelyben készítheti el a smoothie-t, majd lezárva magával viheti bárhová – ideális megoldás a rohanós hétköznapokra vagy az edzőterembe.
A Gorenje BSM600E smoothie maker elegáns inox kivitelével nemcsak hatékony, de esztétikailag is kiemelkedik. A rozsdamentes acél borítás garantálja a tartósságot és a modern, letisztult megjelenést, így könnyedén illeszkedik bármilyen konyhai környezetbe.
Ne maradjon le arról az élményről, hogy otthonában, gyorsan és egyszerűen készíthet frissítő, egészséges smoothie-kat! Válassza a Gorenje BSM600E smoothie makert, és fedezze fel, milyen könnyen lehet része az egészséges életmódnak.</t>
        </is>
      </c>
    </row>
    <row r="335">
      <c r="A335" s="3" t="inlineStr">
        <is>
          <t>MJ-BL5001AW2</t>
        </is>
      </c>
      <c r="B335" s="2" t="inlineStr">
        <is>
          <t>MIDEA MJ-BL5001AW2 turmixgép, 1,5L üveg tartály, állítható sebesség, 600W</t>
        </is>
      </c>
      <c r="C335" s="1" t="n">
        <v>35690.0</v>
      </c>
      <c r="D335" s="7" t="n">
        <f>HYPERLINK("https://www.somogyi.hu/product/midea-mj-bl5001aw2-turmixgep-1-5l-uveg-tartaly-allithato-sebesseg-600w-mj-bl5001aw2-17809","https://www.somogyi.hu/product/midea-mj-bl5001aw2-turmixgep-1-5l-uveg-tartaly-allithato-sebesseg-600w-mj-bl5001aw2-17809")</f>
        <v>0.0</v>
      </c>
      <c r="E335" s="7" t="n">
        <f>HYPERLINK("https://www.somogyi.hu/data/img/product_main_images/small/17809.jpg","https://www.somogyi.hu/data/img/product_main_images/small/17809.jpg")</f>
        <v>0.0</v>
      </c>
      <c r="F335" s="2" t="inlineStr">
        <is>
          <t>6939962765594</t>
        </is>
      </c>
      <c r="G335" s="4" t="inlineStr">
        <is>
          <t>Miért elégedne meg kevesebbel, ha az otthoni turmixolás új szintjére léphet? A MIDEA MJ-BL5001AW2 turmixgép nemcsak egy eszköz, hanem egy kulcs a konyhájában rejlő lehetőségek kibontakoztatásához. 
A 1,5 literes, kiváló minőségű üvegedény lehetővé teszi, hogy nagyobb mennyiségeket készítsen el egyszerre, miközben könnyedén tisztán tartható. A 600 wattos teljesítmény és a 21,000 fordulat/perc sebesség biztosítja, hogy a legkeményebb alapanyagokkal is megbirkózzon, legyen szó jégről, zöldségekről vagy gyümölcsökről. A hat penge és az innovatív excentrikus keverési technológia garantálja a sima, krémes állagot minden turmixnál, smoothienál vagy akár jégzúzási funkciónál is. Az állítható sebességszabályzó és a jelzőlámpa segítségével mindig pontosan követheti a folyamatot, így tökéletes eredményt érhet el minden alkalommal. A fedél beépített mérőpohara megkönnyíti az összetevők precíz adagolását, míg a csúszásgátló talpak biztosítják a gép stabilitását működés közben.
Ne várjon tovább, hozza ki a legtöbbet a konyhai lehetőségekből a MIDEA MJ-BL5001AW2 turmixgéppel – mert a tökéletes turmix elkészítése csak egy gombnyomásra van!</t>
        </is>
      </c>
    </row>
    <row r="336">
      <c r="A336" s="3" t="inlineStr">
        <is>
          <t>HG KD 75</t>
        </is>
      </c>
      <c r="B336" s="2" t="inlineStr">
        <is>
          <t>Home HG KD 75 kávédaráló, teljesítmény 150 W, rozsdamentes tartály és kések, 75 g kapacitás</t>
        </is>
      </c>
      <c r="C336" s="1" t="n">
        <v>8690.0</v>
      </c>
      <c r="D336" s="7" t="n">
        <f>HYPERLINK("https://www.somogyi.hu/product/home-hg-kd-75-kavedaralo-teljesitmeny-150-w-rozsdamentes-tartaly-es-kesek-75-g-kapacitas-hg-kd-75-17063","https://www.somogyi.hu/product/home-hg-kd-75-kavedaralo-teljesitmeny-150-w-rozsdamentes-tartaly-es-kesek-75-g-kapacitas-hg-kd-75-17063")</f>
        <v>0.0</v>
      </c>
      <c r="E336" s="7" t="n">
        <f>HYPERLINK("https://www.somogyi.hu/data/img/product_main_images/small/17063.jpg","https://www.somogyi.hu/data/img/product_main_images/small/17063.jpg")</f>
        <v>0.0</v>
      </c>
      <c r="F336" s="2" t="inlineStr">
        <is>
          <t>5999084950958</t>
        </is>
      </c>
      <c r="G336" s="4" t="inlineStr">
        <is>
          <t>Elképzelt már egy reggelt úgy, hogy a nap első napsugarai mellett a frissen őrölt kávé illata ébreszti? A Home HG KD 75 kávédarálóval az álma valósággá válik. Ezen kávédaráló 150 W-os teljesítménnyel büszkélkedik, ami garantálja a gyors és egyenletes őrlést.
A rozsdamentes tartály és kések nem csak tartósságot, de könnyű tisztíthatóságot is biztosítanak. A készülékkel egyszerre akár 75 g szemeskávét tud megdarálni, ami tökéletes a családi reggelikhez vagy a baráti összejövetelekhez. Az egyszerű és biztonságos kezelés mellett a kompakt méret, ami ∅10,5 x 19 cm, garantálja, hogy kevés helyet foglal el a konyhában.
Frissen őrölt kávé a nap bármely szakaszában! A Home HG KD 75 kávédarálóval minden csésze kávé egy ízorgia lesz!</t>
        </is>
      </c>
    </row>
    <row r="337">
      <c r="A337" s="3" t="inlineStr">
        <is>
          <t>SMK150E</t>
        </is>
      </c>
      <c r="B337" s="2" t="inlineStr">
        <is>
          <t>Gorenje SMK150E kávédaráló, 150 W, 40 g kapacitás, acél penge, fekete</t>
        </is>
      </c>
      <c r="C337" s="1" t="n">
        <v>9990.0</v>
      </c>
      <c r="D337" s="7" t="n">
        <f>HYPERLINK("https://www.somogyi.hu/product/gorenje-smk150e-kavedaralo-150-w-40-g-kapacitas-acel-penge-fekete-smk150e-18299","https://www.somogyi.hu/product/gorenje-smk150e-kavedaralo-150-w-40-g-kapacitas-acel-penge-fekete-smk150e-18299")</f>
        <v>0.0</v>
      </c>
      <c r="E337" s="7" t="n">
        <f>HYPERLINK("https://www.somogyi.hu/data/img/product_main_images/small/18299.jpg","https://www.somogyi.hu/data/img/product_main_images/small/18299.jpg")</f>
        <v>0.0</v>
      </c>
      <c r="F337" s="2" t="inlineStr">
        <is>
          <t>3838782069109</t>
        </is>
      </c>
      <c r="G337" s="4" t="inlineStr">
        <is>
          <t>Ön is szereti frissen darált kávéval indítani a napot? A Gorenje SMK150E kávédaráló ideális választás, ha frissen őrölt kávé élményére vágyik reggelente! 
Ezzel a 150 wattos teljesítményű készülékkel egyszerűen és gyorsan őrölheti meg kedvenc kávészemcséit, hogy az ital minden cseppje a legjobb aromákat és ízeket nyújtsa. A Gorenje SMK150E kávédaráló elegáns fekete színével tökéletesen illeszkedik bármely modern konyha stílusához. 40 grammos kapacitása ideális mennyiséget biztosít egy vagy akár két csésze friss kávé elkészítéséhez, így mindig pontosan annyi kávét darálhat, amennyire szüksége van. A rozsdamentes acél penge garantálja a hatékony és egyenletes darálást, ami a legfinomabb őrleményeket is biztosítja. A kávédaráló stabilitását a gumilábak biztosítják, amelyek megakadályozzák, hogy a készülék elmozduljon darálás közben, így mindig biztonságosan és kényelmesen használható. A készülék biztonsági megszakítója gondoskodik arról, hogy a daráló csak akkor működjön, amikor az fedéllel lezárva van, így a használat közbeni véletlen balesetek is elkerülhetők. A kábeltároló hely praktikus megoldást kínál, amely segít rendezett állapotban tartani a konyhapultot.
Válassza a Gorenje SMK150E kávédarálót, ha egy megbízható, biztonságos és stílusos eszközt keres, amely a legjobb ízeket hozza ki kávéjából minden alkalommal! Fedezze fel a frissen darált kávé aromáját és élvezze a prémium kávéélményt otthonában ezzel a kiváló minőségű kávédarálóval!</t>
        </is>
      </c>
    </row>
    <row r="338">
      <c r="A338" s="6" t="inlineStr">
        <is>
          <t xml:space="preserve">   Háztartási gép, eszköz / Univerzális robotgép</t>
        </is>
      </c>
      <c r="B338" s="6" t="inlineStr">
        <is>
          <t/>
        </is>
      </c>
      <c r="C338" s="6" t="inlineStr">
        <is>
          <t/>
        </is>
      </c>
      <c r="D338" s="6" t="inlineStr">
        <is>
          <t/>
        </is>
      </c>
      <c r="E338" s="6" t="inlineStr">
        <is>
          <t/>
        </is>
      </c>
      <c r="F338" s="6" t="inlineStr">
        <is>
          <t/>
        </is>
      </c>
      <c r="G338" s="6" t="inlineStr">
        <is>
          <t/>
        </is>
      </c>
    </row>
    <row r="339">
      <c r="A339" s="3" t="inlineStr">
        <is>
          <t>MMC800CW</t>
        </is>
      </c>
      <c r="B339" s="2" t="inlineStr">
        <is>
          <t>Gorenje MMC800CW konyhai robotgép, 800 W, 5 literes keverőedény, 6 fokozat, 3D keverés</t>
        </is>
      </c>
      <c r="C339" s="1" t="n">
        <v>60090.0</v>
      </c>
      <c r="D339" s="7" t="n">
        <f>HYPERLINK("https://www.somogyi.hu/product/gorenje-mmc800cw-konyhai-robotgep-800-w-5-literes-keveroedeny-6-fokozat-3d-keveres-mmc800cw-19064","https://www.somogyi.hu/product/gorenje-mmc800cw-konyhai-robotgep-800-w-5-literes-keveroedeny-6-fokozat-3d-keveres-mmc800cw-19064")</f>
        <v>0.0</v>
      </c>
      <c r="E339" s="7" t="n">
        <f>HYPERLINK("https://www.somogyi.hu/data/img/product_main_images/small/19064.jpg","https://www.somogyi.hu/data/img/product_main_images/small/19064.jpg")</f>
        <v>0.0</v>
      </c>
      <c r="F339" s="2" t="inlineStr">
        <is>
          <t>3838782686689</t>
        </is>
      </c>
      <c r="G339" s="4" t="inlineStr">
        <is>
          <t>Szeretné, ha minden konyhai feladat gyorsabban és könnyebben menne? A Gorenje MMC800CW konyhai robotgép a tökéletes választás mindazok számára, akik időt és energiát szeretnének megtakarítani a főzés során, miközben profi eredményeket érhetnek el. 
Ez a nagy teljesítményű konyhai robotgép mindenféle konyhai feladatra készen áll: dagasztásra, keverésre és habverésre egyaránt. Kiválóan alkalmas vastag sütitészták elkészítésére, de a legfinomabb krémek és habok felverésével is könnyedén megbirkózik.
Erőteljes motor és precíz vezérlés
A 800 W-os teljesítmény és a 6 különböző sebességfokozat révén a Gorenje MMC800CW biztosítja, hogy minden feladat gyorsan és pontosan legyen elvégezve. Az automatikus fordulatszám-szabályozás gondoskodik arról, hogy a robotgép mindig a megfelelő sebességgel dolgozzon, akár tésztát dagaszt, akár tojásfehérjét ver kemény habbá. A lágy motorindítás sima, egyenletes indítást garantál, megelőzve a fröcskölést és a felesleges rendetlenséget a konyhában.
Tágas keverőtál és praktikus kialakítás
A 5 literes keverőtál elég nagy ahhoz, hogy nagyobb mennyiségű hozzávalót is könnyedén feldolgozzon, legyen szó kenyér- vagy süteménytésztáról. A keverőtálon lévő praktikus fogantyú kényelmes és biztonságos fogást biztosít, míg a védőfedél nyílása lehetővé teszi, hogy a főzés közben további hozzávalókat adjon hozzá anélkül, hogy meg kellene állítani a gépet. A 3D-s keverés biztosítja, hogy a tál minden pontját egyenletesen elérje a keverőszár, így az eredmény mindig tökéletes lesz.
Biztonság és kényelem minden használatnál
A Gorenje MMC800CW robotgép beépített túlmelegedés elleni védelemmel és biztonsági megszakítással rendelkezik, így használata teljesen biztonságos, még hosszabb ideig tartó működés közben is. A robotgép mosogatógépben tisztítható tartozékai megkönnyítik a tisztítást, így a főzés után nem kell aggódnia a hosszas mosogatás miatt. A készülék a kábeltároló funkciónak köszönhetően rendezetten tárolható, anélkül, hogy a vezetékek útban lennének.
Tartozékok minden konyhai feladathoz
A robotgép több praktikus kiegészítővel is rendelkezik, amelyek segítik a különböző konyhai feladatok elvégzését. A csomag része egy tészta dagasztó kiegészítő, amely ideális a kenyér- és pizzatészták elkészítéséhez, egy hatékony habverő egység a tökéletes krémek és habok felveréséhez, valamint egy keverő szár, amely megkönnyíti a különböző tészták és keverékek elkészítését.
Bármilyen konyhai feladatról is legyen szó, a Gorenje MMC800CW konyhai robotgép gyorsan és könnyedén elvégzi helyettünk a nehéz munkát. Legyen szó dagasztásról, keverésről vagy habverésről, ez a gép mindent elvégez Ön helyett. Szerezze be most, és emelje új szintre konyhai tevékenységeit ezzel a kiváló minőségű, sokoldalú készülékkel!</t>
        </is>
      </c>
    </row>
    <row r="340">
      <c r="A340" s="3" t="inlineStr">
        <is>
          <t>MJ-KM6001W</t>
        </is>
      </c>
      <c r="B340" s="2" t="inlineStr">
        <is>
          <t>Midea MJ-KM6001W konyhai robotgép, 600 W, ABS burkolat, 4 literes rozsdamentes keverőtál, antracit</t>
        </is>
      </c>
      <c r="C340" s="1" t="n">
        <v>36290.0</v>
      </c>
      <c r="D340" s="7" t="n">
        <f>HYPERLINK("https://www.somogyi.hu/product/midea-mj-km6001w-konyhai-robotgep-600-w-abs-burkolat-4-literes-rozsdamentes-keverotal-antracit-mj-km6001w-17810","https://www.somogyi.hu/product/midea-mj-km6001w-konyhai-robotgep-600-w-abs-burkolat-4-literes-rozsdamentes-keverotal-antracit-mj-km6001w-17810")</f>
        <v>0.0</v>
      </c>
      <c r="E340" s="7" t="n">
        <f>HYPERLINK("https://www.somogyi.hu/data/img/product_main_images/small/17810.jpg","https://www.somogyi.hu/data/img/product_main_images/small/17810.jpg")</f>
        <v>0.0</v>
      </c>
      <c r="F340" s="2" t="inlineStr">
        <is>
          <t>6939962772325</t>
        </is>
      </c>
      <c r="G340" s="4" t="inlineStr">
        <is>
          <t>Egy olyan konyhai robotgépre vágyik, amely egyszerre stílusos és sokoldalú? A Midea MJ-KM6001W konyhai robotgép tökéletes választás, ha egy erős, megbízható és elegáns készülékre van szüksége a mindennapi konyhai feladatokhoz. 
Ez a 600 wattos teljesítményű robotgép nemcsak kiváló minőségű anyagokból készült, hanem kiemelkedő teljesítményt is nyújt, így segítségével könnyedén készíthet tésztát, habokat vagy keverékeket. Fényes hatású, antracit színű ABS műanyag burkolata modern és elegáns megjelenést kölcsönöz a készüléknek, amely harmonikusan illeszkedik minden konyhai környezetbe. A nagy, 4 literes rozsdamentes acél keverőtál ideális akár nagyobb adagok elkészítéséhez is, így a családi vagy baráti összejövetelek során sem kell aggódnia a mennyiség miatt. 
Hatfokozatú sebességállítása lehetővé teszi, hogy minden alapanyaghoz a legmegfelelőbb erősséget válassza – legyen szó könnyed habverésről vagy masszív dagasztásról. A Midea MJ-KM6001W konyhai robotgép tartozékai között található egy dagasztókar, habverő és keverő, így szinte bármilyen receptet könnyedén elkészíthet. A robotgép felnyíló fejrészének köszönhetően a keverőtál és a tartozékok könnyen cserélhetők és tisztíthatók, míg a tapadókorongos talpak biztosítják a stabilitást a használat közben.
Válassza a Midea MJ-KM6001W konyhai robotgépet, és tegye egyszerűbbé és gyorsabbá a főzést és sütést! Ezzel a sokoldalú, erős és stílusos robotgéppel minden konyhai feladatot örömmel végezhet el – hozza ki a legtöbbet konyhája lehetőségeiből!</t>
        </is>
      </c>
    </row>
    <row r="341">
      <c r="A341" s="6" t="inlineStr">
        <is>
          <t xml:space="preserve">   Háztartási gép, eszköz / Vízforraló</t>
        </is>
      </c>
      <c r="B341" s="6" t="inlineStr">
        <is>
          <t/>
        </is>
      </c>
      <c r="C341" s="6" t="inlineStr">
        <is>
          <t/>
        </is>
      </c>
      <c r="D341" s="6" t="inlineStr">
        <is>
          <t/>
        </is>
      </c>
      <c r="E341" s="6" t="inlineStr">
        <is>
          <t/>
        </is>
      </c>
      <c r="F341" s="6" t="inlineStr">
        <is>
          <t/>
        </is>
      </c>
      <c r="G341" s="6" t="inlineStr">
        <is>
          <t/>
        </is>
      </c>
    </row>
    <row r="342">
      <c r="A342" s="3" t="inlineStr">
        <is>
          <t>HG VF 05</t>
        </is>
      </c>
      <c r="B342" s="2" t="inlineStr">
        <is>
          <t>Home HG VF 05 vízforraló, teljesítmény 2000 W, 1,2 literes víztartály, 360°-ban forgatható állvány, rejtett fűtőszál, fehér</t>
        </is>
      </c>
      <c r="C342" s="1" t="n">
        <v>7490.0</v>
      </c>
      <c r="D342" s="7" t="n">
        <f>HYPERLINK("https://www.somogyi.hu/product/home-hg-vf-05-vizforralo-teljesitmeny-2000-w-1-2-literes-viztartaly-360-ban-forgathato-allvany-rejtett-futoszal-feher-hg-vf-05-17072","https://www.somogyi.hu/product/home-hg-vf-05-vizforralo-teljesitmeny-2000-w-1-2-literes-viztartaly-360-ban-forgathato-allvany-rejtett-futoszal-feher-hg-vf-05-17072")</f>
        <v>0.0</v>
      </c>
      <c r="E342" s="7" t="n">
        <f>HYPERLINK("https://www.somogyi.hu/data/img/product_main_images/small/17072.jpg","https://www.somogyi.hu/data/img/product_main_images/small/17072.jpg")</f>
        <v>0.0</v>
      </c>
      <c r="F342" s="2" t="inlineStr">
        <is>
          <t>5999084951047</t>
        </is>
      </c>
      <c r="G342" s="4" t="inlineStr">
        <is>
          <t>Szeretné, ha a forró víz percek alatt elkészülne, miközben a konyhája stílusos és praktikus eszközzel bővül? A Home HG VF 05 vízforraló a tökéletes választás mindennapi használatra, amely gyors és egyszerű megoldást nyújt a vízmelegítéshez. 
Az erőteljes, 2000 wattos teljesítménynek köszönhetően a víz pillanatok alatt felforr, így akár kávéhoz, teához vagy főzéshez szükséges forró vizet készíthet vele időveszteség nélkül. A vízforraló 1,2 literes víztartállyal rendelkezik, amely épp ideális mennyiséget biztosít egy kisebb család számára. A mindkét oldalról jól látható folyadékszint-kijelző segítségével könnyedén ellenőrizheti a víz mennyiségét, így mindig pontosan annyit forralhat, amennyire szüksége van. A cseppenésmentes kiöntő kialakításnak köszönhetően a víz biztonságosan önthető ki, elkerülve a konyhai rendetlenséget.
További praktikus jellemzője a 360°-ban forgatható állvány, amely kényelmes használatot biztosít jobb- és balkezesek számára egyaránt. A készülék rejtett fűtőszála megkönnyíti a tisztítást, miközben megakadályozza a vízkő lerakódását. A hőszigetelt fogantyú és a kivehető vízszűrő gondoskodnak arról, hogy a használat még kényelmesebb és higiénikusabb legyen. A túlmelegedés elleni védelem extra biztonságot nyújt, így nyugodtan használhatja a készüléket nap mint nap.
Válassza a Home HG VF 05 vízforralót, ha egy megbízható, praktikus és elegáns kiegészítőt keres konyhájába, amely minden részletében a kényelmet és a biztonságot szolgálja. Élvezze a gyors és hatékony vízforralást, és tapasztalja meg, milyen egyszerűvé válhat a forró italok vagy ételek elkészítése!</t>
        </is>
      </c>
    </row>
    <row r="343">
      <c r="A343" s="3" t="inlineStr">
        <is>
          <t>MK-17G03A2</t>
        </is>
      </c>
      <c r="B343" s="2" t="inlineStr">
        <is>
          <t>Midea MK-17G03A2 üveg vízforraló, max. 2200 W, 1,7 literes, vezetéktároló, kék megvilágítás</t>
        </is>
      </c>
      <c r="C343" s="1" t="n">
        <v>10390.0</v>
      </c>
      <c r="D343" s="7" t="n">
        <f>HYPERLINK("https://www.somogyi.hu/product/midea-mk-17g03a2-uveg-vizforralo-max-2200-w-1-7-literes-vezetektarolo-kek-megvilagitas-mk-17g03a2-17803","https://www.somogyi.hu/product/midea-mk-17g03a2-uveg-vizforralo-max-2200-w-1-7-literes-vezetektarolo-kek-megvilagitas-mk-17g03a2-17803")</f>
        <v>0.0</v>
      </c>
      <c r="E343" s="7" t="n">
        <f>HYPERLINK("https://www.somogyi.hu/data/img/product_main_images/small/17803.jpg","https://www.somogyi.hu/data/img/product_main_images/small/17803.jpg")</f>
        <v>0.0</v>
      </c>
      <c r="F343" s="2" t="inlineStr">
        <is>
          <t>6939962764320</t>
        </is>
      </c>
      <c r="G343" s="4" t="inlineStr">
        <is>
          <t>Kíváncsi arra, hogyan teheti stílusossá és egyedivé konyháját egy egyszerű vízforralóval? A Midea MK-17G03A2 üveg vízforraló elegáns, modern megjelenésével és prémium funkcióival új szintre emeli a vízforralás élményét! 
Az átlátszó üveg és rozsdamentes acél díszítőelemek kombinációja nemcsak esztétikus látványt nyújt, hanem tartós, minőségi kialakítást is biztosít. 1,7 literes kapacitással rendelkezik, így tökéletes választás nagyobb családoknak vagy gyakori vendéglátáshoz. A gyors vízforralási funkciójával 1850-2200 wattos teljesítményt nyújt, hogy a forró víz pillanatok alatt elkészüljön, legyen szó teáról, kávéról vagy épp főzési előkészületekről. A gombnyomásra nyíló fedél megkönnyíti a töltést és az öntést, míg a vezetéktároló segít, hogy a konyhapult mindig rendezett maradjon. A készüléket különlegessé teszi a kék körvilágítás, amely nemcsak modern megjelenést kölcsönöz a vízforralónak, hanem a vízmelegítés alatt elegáns fényt biztosít, jelezve, hogy a készülék működik. Ez a stílusos világítás nemcsak praktikus, de egyedi hangulatot teremt a konyhában.
Válassza a Midea MK-17G03A2 üveg vízforralót, és élvezze a megbízhatóságot, a stílust és a funkcionalitást egyetlen készülékben! Tegye a vízforralást egyszerűvé és élvezetessé ezzel a prémium minőségű, dizájnos készülékkel!</t>
        </is>
      </c>
    </row>
    <row r="344">
      <c r="A344" s="3" t="inlineStr">
        <is>
          <t>MK-15H01A</t>
        </is>
      </c>
      <c r="B344" s="2" t="inlineStr">
        <is>
          <t>Midea MK-15H01A vízforraló, max. 2200 W, 1,5 L, duplafalú, fehér-fekete</t>
        </is>
      </c>
      <c r="C344" s="1" t="n">
        <v>12890.0</v>
      </c>
      <c r="D344" s="7" t="n">
        <f>HYPERLINK("https://www.somogyi.hu/product/midea-mk-15h01a-vizforralo-max-2200-w-1-5-l-duplafalu-feher-fekete-mk-15h01a-17805","https://www.somogyi.hu/product/midea-mk-15h01a-vizforralo-max-2200-w-1-5-l-duplafalu-feher-fekete-mk-15h01a-17805")</f>
        <v>0.0</v>
      </c>
      <c r="E344" s="7" t="n">
        <f>HYPERLINK("https://www.somogyi.hu/data/img/product_main_images/small/17805.jpg","https://www.somogyi.hu/data/img/product_main_images/small/17805.jpg")</f>
        <v>0.0</v>
      </c>
      <c r="F344" s="2" t="inlineStr">
        <is>
          <t>6939962757636</t>
        </is>
      </c>
      <c r="G344" s="4" t="inlineStr">
        <is>
          <t>Gondolta volna, hogy a vízforralás nemcsak gyors, hanem biztonságos és kényelmes is lehet? A Midea MK-15H01A duplafalú vízforraló intelligens kialakításának köszönhetően megakadályozza a külső burkolat felforrósodását, így Ön és családja biztonságban élvezheti a forró italok elkészítését. 
Ez az elegáns, fehér-fekete dizájnnal készült vízforraló nemcsak megjelenésével, hanem funkcióival is kiemelkedik a piacon. A 1,5 literes kapacitás ideális mennyiséget biztosít, amely gyorsan felforrósítható a 1850-2200 wattos teljesítmény révén. A készülék varrat nélküli, rozsdamentes acél belső felülettel rendelkezik, amely nemcsak higiénikus, de rendkívül könnyen tisztítható is. A duplafalú kialakítás nemcsak a biztonságot szolgálja, hanem a hőtartást is növeli, így a víz hosszabb ideig marad forró, minimalizálva az energiafogyasztást. A vízforraló fedelét egyetlen gombnyomással nyithatja, ami megkönnyíti a töltést és az öntést. A kompakt, letisztult formatervezésű készülék illeszkedik minden konyhai környezetbe, és használatával a forró italok készítése egyszerűbb, gyorsabb és biztonságosabb, mint valaha.
Fedezze fel a Midea MK-15H01A vízforraló nyújtotta kényelmet és biztonságot, és emelje új szintre a mindennapi vízforralást! Válassza ezt a stílusos és praktikus megoldást, amely minden szempontból megfelel a modern konyhai igényeknek!</t>
        </is>
      </c>
    </row>
    <row r="345">
      <c r="A345" s="3" t="inlineStr">
        <is>
          <t>HG VF 04</t>
        </is>
      </c>
      <c r="B345" s="2" t="inlineStr">
        <is>
          <t>Home HG VF 04 vízforraló, teljesítmény 2000 W, 1,7 literes víztartály, 360°-ban forgatható állvány, rejtett fűtőszál, duplafalú</t>
        </is>
      </c>
      <c r="C345" s="1" t="n">
        <v>10290.0</v>
      </c>
      <c r="D345" s="7" t="n">
        <f>HYPERLINK("https://www.somogyi.hu/product/home-hg-vf-04-vizforralo-teljesitmeny-2000-w-1-7-literes-viztartaly-360-ban-forgathato-allvany-rejtett-futoszal-duplafalu-hg-vf-04-15231","https://www.somogyi.hu/product/home-hg-vf-04-vizforralo-teljesitmeny-2000-w-1-7-literes-viztartaly-360-ban-forgathato-allvany-rejtett-futoszal-duplafalu-hg-vf-04-15231")</f>
        <v>0.0</v>
      </c>
      <c r="E345" s="7" t="n">
        <f>HYPERLINK("https://www.somogyi.hu/data/img/product_main_images/small/15231.jpg","https://www.somogyi.hu/data/img/product_main_images/small/15231.jpg")</f>
        <v>0.0</v>
      </c>
      <c r="F345" s="2" t="inlineStr">
        <is>
          <t>5999084932657</t>
        </is>
      </c>
      <c r="G345" s="4" t="inlineStr">
        <is>
          <t>Egy megbízható és elegáns vízforralót keres, amely minden igényét kielégíti? A Home HG VF 04 vízforraló ideális választás mindennapi használatra. 
1850-2000 W teljesítményének köszönhetően pillanatok alatt felforralja a vizet. A 1,7 literes víztartály mindkét oldalról jól látható folyadékszintjelzővel van ellátva, így mindig pontosan tudja, mennyi víz áll rendelkezésére. A duplafalú kialakítás (műanyag és rozsdamentes acél) nemcsak a hőszigetelést biztosítja, de modern megjelenést is kölcsönöz a készüléknek.
A cseppenésmentes kiöntés és a kivehető vízszűrő garantálják, hogy a vízforralás és a víz kiöntése is egyszerű legyen. A 360°-ban forgatható aljzaton bármely irányból könnyedén visszahelyezheti a vízforralót, a rejtett fűtőszál pedig növeli a biztonságot és megkönnyíti a tisztítást. A hőszigetelt fogantyúval a forró víz kiöntése is kényelmes és biztonságos. Emellett a túlmelegedés elleni védelem gondoskodik arról, hogy a készülék mindig biztonságosan működjön. Tápellátása 230 V~ / 50 Hz, így bármelyik háztartásban használható.
Ne habozzon tovább, válassza a Home HG VF 04 vízforralót, és élvezze a gyors és kényelmes vízforralást minden nap!</t>
        </is>
      </c>
    </row>
    <row r="346">
      <c r="A346" s="6" t="inlineStr">
        <is>
          <t xml:space="preserve">   Háztartási gép, eszköz / Porszívó</t>
        </is>
      </c>
      <c r="B346" s="6" t="inlineStr">
        <is>
          <t/>
        </is>
      </c>
      <c r="C346" s="6" t="inlineStr">
        <is>
          <t/>
        </is>
      </c>
      <c r="D346" s="6" t="inlineStr">
        <is>
          <t/>
        </is>
      </c>
      <c r="E346" s="6" t="inlineStr">
        <is>
          <t/>
        </is>
      </c>
      <c r="F346" s="6" t="inlineStr">
        <is>
          <t/>
        </is>
      </c>
      <c r="G346" s="6" t="inlineStr">
        <is>
          <t/>
        </is>
      </c>
    </row>
    <row r="347">
      <c r="A347" s="3" t="inlineStr">
        <is>
          <t>DXVA19-1900D</t>
        </is>
      </c>
      <c r="B347" s="2" t="inlineStr">
        <is>
          <t>DeWALT DXVA19-1900D padlótisztító fej, 48 mm</t>
        </is>
      </c>
      <c r="C347" s="1" t="n">
        <v>5590.0</v>
      </c>
      <c r="D347" s="7" t="n">
        <f>HYPERLINK("https://www.somogyi.hu/product/dewalt-dxva19-1900d-padlotisztito-fej-48-mm-dxva19-1900d-18267","https://www.somogyi.hu/product/dewalt-dxva19-1900d-padlotisztito-fej-48-mm-dxva19-1900d-18267")</f>
        <v>0.0</v>
      </c>
      <c r="E347" s="7" t="n">
        <f>HYPERLINK("https://www.somogyi.hu/data/img/product_main_images/small/18267.jpg","https://www.somogyi.hu/data/img/product_main_images/small/18267.jpg")</f>
        <v>0.0</v>
      </c>
      <c r="F347" s="2" t="inlineStr">
        <is>
          <t>6921183097356</t>
        </is>
      </c>
      <c r="G347" s="4" t="inlineStr">
        <is>
          <t>Hogyan tisztíthatja meg gyorsan és hatékonyan a nagyobb padlófelületeket por és törmelék nélkül?
A DeWALT DXVA19-1900D padlótisztító fej ideális választás a nagyobb felületek gyors és alapos tisztításához. Ezt a kifejezetten DeWALT ipari porszívókhoz tervezett padlótisztító fejet úgy alakították ki, hogy kiváló szívóerőt biztosítson, miközben könnyedén siklik a különféle padlótípusokon. Legyen szó műhelyről, garázsról vagy akár építési területről, ez a tartozék hatékonyan távolítja el a port, törmeléket és egyéb szennyeződéseket.
Kiváló teljesítmény és széles kompatibilitás
A padlótisztító fej 48 mm-es átmérővel rendelkezik, amely tökéletesen illeszkedik a DeWALT ipari porszívókhoz. Az optimalizált méret és kialakítás garantálja a hatékony légáramlást, így a porszívó maximális szívóerejét kihasználva biztosítja a gyors és hatékony tisztítást. Ez a fej ideális választás nagyobb padlófelületek rendszeres karbantartására, ahol fontos a hatékony takarítás.
Strapabíró és praktikus kialakítás
A DeWALT DXVA19-1900D padlótisztító fej kiváló minőségű anyagokból készült, így ellenáll az intenzív használatnak és a mindennapos igénybevételnek. Masszív szerkezete garantálja a hosszú élettartamot, míg az ergonomikus kialakítás megkönnyíti a használatot, hiszen a fej könnyedén siklik a különféle padlófelületeken, legyen szó sima betonról, csempéről vagy fa padlóról.
Könnyű használat különféle környezetekben
Ez a padlótisztító fej nemcsak műhelyekben és ipari területeken használható hatékonyan, hanem otthoni környezetben is megállja a helyét. Az egyszerűen csatlakoztatható fej lehetővé teszi a gyors munkakezdést, így időt takarít meg, miközben garantáltan tiszta környezetet teremt.
Miért érdemes a DeWALT DXVA19-1900D padlótisztító fejet választani?
– 48 mm-es átmérő, amely kompatibilis a DeWALT ipari porszívóival 
– Kiváló szívóerőt biztosít, hatékonyan távolítja el a port és a törmeléket 
– Masszív, strapabíró kialakítás, amely hosszú élettartamot garantál 
– Ideális nagyobb padlófelületek tisztítására műhelyekben, garázsokban és építkezéseken 
– Ergonomikus kialakítás a könnyű használat érdekében
A DeWALT DXVA19-1900D padlótisztító fej segítségével gyorsan és hatékonyan végezheti el a takarítást, akár ipari, akár otthoni környezetben használja. Emelje új szintre a takarítás hatékonyságát ezzel a professzionális kiegészítővel, amely megkönnyíti a munkát és garantálja a tiszta környezetet!</t>
        </is>
      </c>
    </row>
    <row r="348">
      <c r="A348" s="3" t="inlineStr">
        <is>
          <t>DXV25S</t>
        </is>
      </c>
      <c r="B348" s="2" t="inlineStr">
        <is>
          <t>DeWALT DXV25S száraz-nedves porszívó, rozsdamentes váz, 25 liter, 15 Kpa, 37,8 l/s, 8 tartozék, 1050 W</t>
        </is>
      </c>
      <c r="C348" s="1" t="n">
        <v>58890.0</v>
      </c>
      <c r="D348" s="7" t="n">
        <f>HYPERLINK("https://www.somogyi.hu/product/dewalt-dxv25s-szaraz-nedves-porszivo-rozsdamentes-vaz-25-liter-15-kpa-37-8-l-s-8-tartozek-1050-w-dxv25s-18255","https://www.somogyi.hu/product/dewalt-dxv25s-szaraz-nedves-porszivo-rozsdamentes-vaz-25-liter-15-kpa-37-8-l-s-8-tartozek-1050-w-dxv25s-18255")</f>
        <v>0.0</v>
      </c>
      <c r="E348" s="7" t="n">
        <f>HYPERLINK("https://www.somogyi.hu/data/img/product_main_images/small/18255.jpg","https://www.somogyi.hu/data/img/product_main_images/small/18255.jpg")</f>
        <v>0.0</v>
      </c>
      <c r="F348" s="2" t="inlineStr">
        <is>
          <t>6921183001650</t>
        </is>
      </c>
      <c r="G348" s="4" t="inlineStr">
        <is>
          <t>Egy megbízható porszívót keres, ami száraz és nedves felületeken is egyaránt hatékony? 
A DeWALT DXV25S száraz-nedves porszívó tökéletes választás lehet Önnek. 25 literes tartályával és 15 KPa szívóteljesítményével garantáltan megbirkózik a legmakacsabb szennyeződésekkel is. Rozsdamentes vázának köszönhetően ellenáll a korróziónak, biztosítva ezzel hosszú a hosszú élettartamot.
Ennek a porszívónak a légszállítási képessége 37,8 liter másodpercenként, ami biztosítja a gyors és hatékony takarítást. A csomagban található ∅48 mm átmérőjű és 2,1 méter hosszú gégecsőnek köszönhetően eléri az eldugott, nehezen hozzáférhető helyeket is. A porszívó tartozékai között megtalálható a gégecső, toldócső, Clean ConnectTM szűrő, porzsák, utility fej, padlótisztító fej, résszívófej és egy hálós tartozéktároló zsák, amelyek még rugalmasabbá teszik a használatát.
A porzsák típusa DXVA19-4204, ami biztosítja a pormentes működést. A 3 méter hosszú gumi szigetelésű hálózati vezeték további kényelmet nyújt. A porszívó 230 V~ / 50 Hz / 1050 W-os teljesítménnyel működik, így erőteljes, mégis energiahatékony.
Válassza a DeWALT DXV25S száraz-nedves porszívót, és élvezze a hatékony, problémamentes takarítást!</t>
        </is>
      </c>
    </row>
    <row r="349">
      <c r="A349" s="3" t="inlineStr">
        <is>
          <t>DXVA19-4204</t>
        </is>
      </c>
      <c r="B349" s="2" t="inlineStr">
        <is>
          <t>DeWALT DXVA19-4204 porzsák, 20 liter - 30 liter, 3db</t>
        </is>
      </c>
      <c r="C349" s="1" t="n">
        <v>7490.0</v>
      </c>
      <c r="D349" s="7" t="n">
        <f>HYPERLINK("https://www.somogyi.hu/product/dewalt-dxva19-4204-porzsak-20-liter-30-liter-3db-dxva19-4204-18262","https://www.somogyi.hu/product/dewalt-dxva19-4204-porzsak-20-liter-30-liter-3db-dxva19-4204-18262")</f>
        <v>0.0</v>
      </c>
      <c r="E349" s="7" t="n">
        <f>HYPERLINK("https://www.somogyi.hu/data/img/product_main_images/small/18262.jpg","https://www.somogyi.hu/data/img/product_main_images/small/18262.jpg")</f>
        <v>0.0</v>
      </c>
      <c r="F349" s="2" t="inlineStr">
        <is>
          <t>6921183097165</t>
        </is>
      </c>
      <c r="G349" s="4" t="inlineStr">
        <is>
          <t>Hogyan tarthatja porszívóját mindig maximális teljesítményen, még a legnagyobb kihívást jelentő takarítási feladatok során is?
A DeWALT DXVA19-4204 porzsák tökéletes kiegészítője a DeWALT ipari porszívóknak, amelyet kifejezetten nagy mennyiségű por és törmelék eltávolítására terveztek. A 20 és 30 literes porszívókhoz kompatibilis porzsákokbiztosítják a porszívó folyamatos, hatékony működését, miközben csökkentik a por visszajutásának esélyét a levegőbe. Ez a csomag három darab porzsákot tartalmaz, így hosszabb időre biztosítja a zavartalan takarítást.
Nagy kapacitás és széles körű kompatibilitás
A DeWALT DXVA19-4204 porzsák 20 és 30 literes ipari porszívókhoz használható, így ideális választás műhelyekben, építkezéseken és nagyobb takarítási projektekhez. A nagy kapacitású porzsák lehetővé teszi, hogy hosszabb ideig dolgozzon anélkül, hogy a zsákot gyakran kellene cserélnie, ezáltal növelve a munkavégzés hatékonyságát.
Tartós és megbízható anyaghasználat
A porzsák strapabíró, többrétegű anyagból készült, amely garantálja a biztonságos por- és törmelékgyűjtést. Az erős, szakadásálló anyag megakadályozza a szennyeződések kijutását, miközben védi a porszívó szűrőjét, így az hosszabb élettartamú marad és folyamatosan nagy szívóerőt biztosít. A porzsák kialakítása megakadályozza a por visszaáramlását a levegőbe, ami különösen fontos a tisztább munkakörnyezet fenntartása érdekében.
Egyszerű csere és gyors karbantartás
A DeWALT DXVA19-4204 porzsák könnyen behelyezhető és cserélhető, így minimálisra csökkenti a takarítási munkák megszakítását. A porzsák csere után biztonságosan záródik, így elkerülhető, hogy a por a környezetbe kerüljön, ezzel megkímélve a felhasználót a felesleges utómunkától.
Miért válassza a DeWALT DXVA19-4204 porzsákot?
– Kompatibilis a 20 és 30 literes DeWALT ipari porszívókkal, így széles körben alkalmazható 
– Nagy kapacitásának köszönhetően hosszabb takarítási ciklust tesz lehetővé cserék között 
– Strapabíró, többrétegű anyagból készült, amely ellenáll a szakadásnak és megakadályozza a por kijutását 
– Könnyű behelyezés és csere a gyors karbantartás érdekében 
– Megbízható porzárás a tisztább munkakörnyezetért és a porszívó hosszabb élettartamáért
A DeWALT DXVA19-4204 porzsák segítségével Ön biztos lehet abban, hogy porszívója mindig a legjobb teljesítményt nyújtja. Válassza ezt a nagy kapacitású, strapabíró porzsákot, hogy gyorsabban, hatékonyabban és tisztábban végezhesse el a legnagyobb takarítási feladatokat is!</t>
        </is>
      </c>
    </row>
    <row r="350">
      <c r="A350" s="3" t="inlineStr">
        <is>
          <t>DXVA19-1202</t>
        </is>
      </c>
      <c r="B350" s="2" t="inlineStr">
        <is>
          <t>DeWALT DXVA19-1202 porszívó toldócső, 48 mm</t>
        </is>
      </c>
      <c r="C350" s="1" t="n">
        <v>4290.0</v>
      </c>
      <c r="D350" s="7" t="n">
        <f>HYPERLINK("https://www.somogyi.hu/product/dewalt-dxva19-1202-porszivo-toldocso-48-mm-dxva19-1202-18264","https://www.somogyi.hu/product/dewalt-dxva19-1202-porszivo-toldocso-48-mm-dxva19-1202-18264")</f>
        <v>0.0</v>
      </c>
      <c r="E350" s="7" t="n">
        <f>HYPERLINK("https://www.somogyi.hu/data/img/product_main_images/small/18264.jpg","https://www.somogyi.hu/data/img/product_main_images/small/18264.jpg")</f>
        <v>0.0</v>
      </c>
      <c r="F350" s="2" t="inlineStr">
        <is>
          <t>6921183097264</t>
        </is>
      </c>
      <c r="G350" s="4" t="inlineStr">
        <is>
          <t>Hogyan növelheti a takarítás hatékonyságát egy megfelelő porszívó toldócsővel?
A DeWALT DXVA19-1202 porszívó toldócső kifejezetten a DeWALT ipari porszívókhoz készült, hogy megkönnyítse a nehezen elérhető helyek tisztítását. Ez a tartós és praktikus kiegészítő nemcsak javítja a takarítás hatékonyságát, hanem biztosítja, hogy még a legszűkebb sarkokhoz is könnyedén hozzáférjen. Ha olyan eszközt keres, amely tökéletesen illeszkedik porszívójához és garantálja a hatékony tisztítást, ez a toldócső ideális választás.
Tartós és kompatibilis kialakítás
A DeWALT DXVA19-1202 toldócső 48 mm-es átmérővel rendelkezik, így kiválóan illeszkedik a DeWALT ipari porszívókhoz. Az optimális átmérő biztosítja a légáramlás akadálytalan áthaladását, így garantálja a hatékony szívóerőt még hosszabb használat során is. Az erős, strapabíró anyagból készült cső ellenáll a mindennapi igénybevételnek, így hosszú távon is megbízhatóan szolgálja ki a felhasználót.
Sokoldalú felhasználás ipari és otthoni környezetben
A porszívó toldócső ideális választás építkezési, felújítási munkákhoz, műhelyekben történő takarításhoz, valamint olyan területeken, ahol nagy mennyiségű por és szennyeződés eltávolítása szükséges. A toldócső hossza lehetővé teszi, hogy kényelmesen elérje a távolabbi vagy magasabb helyeket, így nincs szükség arra, hogy folyamatosan mozgassa a porszívót.
Egyszerű csatlakoztathatóság és kényelmes használat
A toldócső könnyen és gyorsan csatlakoztatható a DeWALT porszívókhoz, így minimális időráfordítással állhat neki a takarításnak. Az ergonomikus kialakítás segíti a kényelmes használatot, miközben biztosítja a maximális hatékonyságot. Legyen szó por, törmelék vagy egyéb szennyeződés eltávolításáról, a DeWALT DXVA19-1202 toldócső garantáltan megkönnyíti a munkát.
Miért válassza a DeWALT DXVA19-1202 porszívó toldócsövet?
– 48 mm-es átmérőjű kialakítás, amely biztosítja a tökéletes kompatibilitást a DeWALT ipari porszívókkal 
– Strapabíró, hosszú élettartamú anyag, amely ellenáll az intenzív használatnak 
– Ideális ipari és otthoni takarításhoz egyaránt 
– Könnyen csatlakoztatható, így gyorsan munkára fogható 
– Kényelmesen használható a nehezen elérhető helyek tisztításához
A DeWALT DXVA19-1202 porszívó toldócső tökéletes választás azok számára, akik hatékony és tartós megoldást keresnek a mindennapi takarítási feladatokhoz. Növelje porszívója teljesítményét, és érjen el kiváló tisztítási eredményeket minden környezetben!</t>
        </is>
      </c>
    </row>
    <row r="351">
      <c r="A351" s="3" t="inlineStr">
        <is>
          <t>MBO1PLRE</t>
        </is>
      </c>
      <c r="B351" s="2" t="inlineStr">
        <is>
          <t>MIDEA MBO1PLRE porzsákos porszívó, 700 W, kompakt és könnyű, 1,5 literes porzsák, 5 m tápvezeték</t>
        </is>
      </c>
      <c r="C351" s="1" t="n">
        <v>22490.0</v>
      </c>
      <c r="D351" s="7" t="n">
        <f>HYPERLINK("https://www.somogyi.hu/product/midea-mbo1plre-porzsakos-porszivo-700-w-kompakt-es-konnyu-1-5-literes-porzsak-5-m-tapvezetek-mbo1plre-18941","https://www.somogyi.hu/product/midea-mbo1plre-porzsakos-porszivo-700-w-kompakt-es-konnyu-1-5-literes-porzsak-5-m-tapvezetek-mbo1plre-18941")</f>
        <v>0.0</v>
      </c>
      <c r="E351" s="7" t="n">
        <f>HYPERLINK("https://www.somogyi.hu/data/img/product_main_images/small/18941.jpg","https://www.somogyi.hu/data/img/product_main_images/small/18941.jpg")</f>
        <v>0.0</v>
      </c>
      <c r="F351" s="2" t="inlineStr">
        <is>
          <t>6956079721497</t>
        </is>
      </c>
      <c r="G351" s="4" t="inlineStr">
        <is>
          <t>Kompakt és könnyű megoldást keres a mindennapi takarításhoz, amely hatékonyan elbánik a porral és szennyeződésekkel? A MIDEA MBO1PLRE porzsákos porszívó tökéletes választás, ha kis méretű, de nagy teljesítményű készülékre van szüksége. 
A 700 wattos motorteljesítménynek köszönhetően ez a porszívó könnyedén megbirkózik a makacs szennyeződésekkel is, miközben kompakt kialakítása révén egyszerűen tárolható és szállítható.
A készülék 1,5 literes porzsákkal rendelkezik, ami ideális választás kisebb lakások, irodák vagy akár autók takarításához. A mosható porzsák praktikus és környezetbarát megoldás, hiszen újra és újra használható, így nemcsak pénzt takarít meg, de a hulladék mennyiségét is csökkenti. 
Az 5 méteres tápvezeték és a teleszkópos fém szívócső lehetővé teszi, hogy a porszívózást kényelmesen, nagyobb területen végezze el anélkül, hogy folyamatosan áramforrást kellene váltania.
A MIDEA MBO1PLRE porzsákos porszívóhoz tartozik egy általános tisztítófej és egy kombinált kefés/résszívófej, amelyek minden felülethez megfelelőek, legyen szó kemény padlóról vagy szűk rések tisztításáról. Könnyű, mindössze 3,6 kg-os nettó tömegének köszönhetően a készülék egyszerűen mozgatható, így még a nehezen elérhető helyeken is könnyedén takaríthat vele.
Ne engedje, hogy a szennyeződések uralják otthonát! Vásárolja meg a MIDEA MBO1PLRE porzsákos porszívót most, és élvezze a takarítás egyszerűségét és hatékonyságát minden egyes használatkor!</t>
        </is>
      </c>
    </row>
    <row r="352">
      <c r="A352" s="3" t="inlineStr">
        <is>
          <t>VCEA11CXWII</t>
        </is>
      </c>
      <c r="B352" s="2" t="inlineStr">
        <is>
          <t>Gorenje VCEA11CXWII porzsákos porszívó, 750 W, 2 literes porzsák, HEPA szűrő, kábelfelcsévélés, parkoló pozíció, fehér</t>
        </is>
      </c>
      <c r="C352" s="1" t="n">
        <v>27690.0</v>
      </c>
      <c r="D352" s="7" t="n">
        <f>HYPERLINK("https://www.somogyi.hu/product/gorenje-vcea11cxwii-porzsakos-porszivo-750-w-2-literes-porzsak-hepa-szuro-kabelfelcseveles-parkolo-pozicio-feher-vcea11cxwii-16739","https://www.somogyi.hu/product/gorenje-vcea11cxwii-porzsakos-porszivo-750-w-2-literes-porzsak-hepa-szuro-kabelfelcseveles-parkolo-pozicio-feher-vcea11cxwii-16739")</f>
        <v>0.0</v>
      </c>
      <c r="E352" s="7" t="n">
        <f>HYPERLINK("https://www.somogyi.hu/data/img/product_main_images/small/16739.jpg","https://www.somogyi.hu/data/img/product_main_images/small/16739.jpg")</f>
        <v>0.0</v>
      </c>
      <c r="F352" s="2" t="inlineStr">
        <is>
          <t>3838782089077</t>
        </is>
      </c>
      <c r="G352" s="4" t="inlineStr">
        <is>
          <t>Hogyan takaríthat hatékonyan, csendesen és kényelmesen otthonában? A Gorenje VCEA11CXWII porzsákos porszívó kiváló választás mindazok számára, akik szeretnének egy erőteljes, mégis könnyen kezelhető készülékkel takarítani. 
A 750 wattos teljesítményével ez a porszívó biztosítja a hatékony porszívózást, míg a HEPA szűrő gondoskodik arról, hogy a levegő is tisztább maradjon. Ez különösen hasznos allergiások számára, hiszen a HEPA szűrő hatékonyan kiszűri a finom por- és allergénrészecskéket a levegőből. A készülék univerzális szívófejjel van felszerelve, amely bármilyen felületen – legyen az padló, szőnyeg vagy parketta – kiválóan teljesít. A 26,3 l/s levegőáramlás garantálja a hatékony szívóerőt, miközben a 78 dB zajszint kifejezetten csendes működést biztosít, így nem zavarja a háztartás többi tagját. A 2 literes porzsák nagy kapacitása lehetővé teszi, hogy kevesebb cserére legyen szükség, míg a porzsáktelítettség jelző értesíti, ha a zsákot cserélni kell.
A Gorenje VCEA11CXWII porzsákos porszívó tekerőgombos teljesítményszabályozással rendelkezik, amely lehetővé teszi a szívóerő pontos beállítását, így mindig az adott felülethez igazíthatja a takarítást. A lágy motorindítás funkció megnöveli a készülék élettartamát azáltal, hogy lassan, fokozatosan éri el a teljesítménycsúcsot. A gumikerekek védik a padlófelületet, így még a legérzékenyebb felületeken is nyugodtan használhatja a porszívót. A 8 méteres hatótávolság (a kábel, gégecső és szívófej kombinációjával) biztosítja, hogy nagyobb helyiségeket is könnyedén kiporszívózhat anélkül, hogy gyakran kellene váltania a konnektorok között. A készülék kényelmesen tárolható fekvő helyzetben, a parkoló pozíció pedig lehetővé teszi, hogy a porszívót stabilan és helytakarékosan tárolja a használat után.
A kábelfelcsévélő rendszer segítségével egyetlen mozdulattal elrejtheti a 5 méteres csatlakozókábelt, így a tárolás is egyszerűvé válik. A könnyű, 3300 g súlyú készülék egyszerűen mozgatható, így bárki kényelmesen használhatja a ház bármely pontján.
Ne várjon tovább! Válassza a Gorenje VCEA11CXWII porzsákos porszívót, és élvezze a gyors, hatékony és kényelmes takarítást! Hagyja, hogy ez a modern, kiváló teljesítményű készülék levegye a terhet a válláról, miközben otthona mindig tiszta és rendezett marad!</t>
        </is>
      </c>
    </row>
    <row r="353">
      <c r="A353" s="3" t="inlineStr">
        <is>
          <t>DXVA19-2558</t>
        </is>
      </c>
      <c r="B353" s="2" t="inlineStr">
        <is>
          <t>DeWALT DXVA19-2558 porszívó gégecső, 48 mm x 2,1 m</t>
        </is>
      </c>
      <c r="C353" s="1" t="n">
        <v>12190.0</v>
      </c>
      <c r="D353" s="7" t="n">
        <f>HYPERLINK("https://www.somogyi.hu/product/dewalt-dxva19-2558-porszivo-gegecso-48-mm-x-2-1-m-dxva19-2558-18263","https://www.somogyi.hu/product/dewalt-dxva19-2558-porszivo-gegecso-48-mm-x-2-1-m-dxva19-2558-18263")</f>
        <v>0.0</v>
      </c>
      <c r="E353" s="7" t="n">
        <f>HYPERLINK("https://www.somogyi.hu/data/img/product_main_images/small/18263.jpg","https://www.somogyi.hu/data/img/product_main_images/small/18263.jpg")</f>
        <v>0.0</v>
      </c>
      <c r="F353" s="2" t="inlineStr">
        <is>
          <t>6921183097219</t>
        </is>
      </c>
      <c r="G353" s="4" t="inlineStr">
        <is>
          <t>Hogyan növelheti a porszívózási hatékonyságot egy hosszabb, strapabíró gégecsővel?
A DeWALT DXVA19-2558 porszívó gégecső tökéletes választás mindazok számára, akik szeretnék megnövelni porszívójuk hatótávolságát, miközben biztosítják a folyamatos, akadálymentes légáramlást. Az ipari felhasználásra tervezett, 48 mm átmérőjű és 2,1 méter hosszúságú gégecső rendkívül rugalmas, ugyanakkor erős és tartós, így kiválóan alkalmas a legnehezebb takarítási feladatok elvégzésére is.
Kiemelkedő kompatibilitás és hosszabb elérhetőség
Ez a gégecső 48 mm-es átmérőjével tökéletesen illeszkedik a DeWALT ipari porszívókhoz, garantálva a stabil csatlakozást és a kiváló szívóerőt. A 2,1 méteres hosszúság lehetővé teszi, hogy nagyobb területeken dolgozzon anélkül, hogy folyamatosan mozgatnia kellene a porszívót. Ideális megoldás műhelyek, garázsok és építkezési területek tisztításához, ahol fontos a nagyobb távolság áthidalása.
Strapabíró kialakítás a hosszú élettartam érdekében
A DeWALT DXVA19-2558 gégecső masszív, ipari minőségű anyagból készült, amely ellenáll a mechanikai sérüléseknek és a rendszeres igénybevételnek. A rugalmas kialakítás lehetővé teszi a könnyű kezelhetőséget és a gyors munkavégzést, miközben megőrzi formáját és nem törik meg a használat során.
Sokoldalú felhasználás különböző környezetekben
Legyen szó otthoni vagy ipari használatról, ez a gégecső minden környezetben megállja a helyét. A hosszabb elérhetőség lehetővé teszi, hogy szűk, nehezen hozzáférhető helyeket is kényelmesen kitakarítson, miközben biztos lehet benne, hogy a porszívó teljesítménye nem csökken a nagyobb távolság miatt.
Miért érdemes a DeWALT DXVA19-2558 porszívó gégecsövet választani?
– 48 mm-es átmérő, amely tökéletesen illeszkedik a DeWALT ipari porszívókhoz 
– 2,1 méteres hosszúság a nagyobb hatótávolság érdekében 
– Strapabíró, ipari minőségű anyag, amely hosszú élettartamot biztosít 
– Rugalmas kialakítás a könnyű használat és a hatékony tisztítás érdekében 
– Ideális választás műhelyekben, garázsokban, építkezéseken és otthoni környezetben
Ha fontos Önnek a hatékony és kényelmes takarítás, a DeWALT DXVA19-2558 gégecső kiváló megoldást nyújt. Növelje porszívója hatótávolságát és élvezze a gyorsabb, egyszerűbb munkavégzést minden környezetben!</t>
        </is>
      </c>
    </row>
    <row r="354">
      <c r="A354" s="3" t="inlineStr">
        <is>
          <t>DXVA19-4201</t>
        </is>
      </c>
      <c r="B354" s="2" t="inlineStr">
        <is>
          <t>DeWALT DXVA19-4201 porzsák, 23 liter - 38 liter, 3db</t>
        </is>
      </c>
      <c r="C354" s="1" t="n">
        <v>7490.0</v>
      </c>
      <c r="D354" s="7" t="n">
        <f>HYPERLINK("https://www.somogyi.hu/product/dewalt-dxva19-4201-porzsak-23-liter-38-liter-3db-dxva19-4201-18261","https://www.somogyi.hu/product/dewalt-dxva19-4201-porzsak-23-liter-38-liter-3db-dxva19-4201-18261")</f>
        <v>0.0</v>
      </c>
      <c r="E354" s="7" t="n">
        <f>HYPERLINK("https://www.somogyi.hu/data/img/product_main_images/small/18261.jpg","https://www.somogyi.hu/data/img/product_main_images/small/18261.jpg")</f>
        <v>0.0</v>
      </c>
      <c r="F354" s="2" t="inlineStr">
        <is>
          <t>0810018920012</t>
        </is>
      </c>
      <c r="G354" s="4" t="inlineStr">
        <is>
          <t>Hogyan biztosíthatja porszívója maximális teljesítményét és hatékonyságát a legnehezebb takarítási feladatok során?
A DeWALT DXVA19-4201 porzsák kifejezetten a DeWALT ipari porszívókhoz lett tervezve, hogy a nagy igénybevételt jelentő takarítási munkák során is garantálja a hatékony működést. Ez a kiváló minőségű porzsák ideális választás, ha nagy mennyiségű por és törmelék összegyűjtésére van szükség, miközben biztosítja a porszívó szívóerejének fennmaradását. A 23-38 literes kapacitás lehetővé teszi, hogy hosszabb ideig dolgozzon megszakítás nélkül.
Nagy kapacitás és kiváló kompatibilitás
A DeWALT DXVA19-4201 porzsák 23 és 38 literes porszívókhoz is tökéletesen illeszkedik, így rugalmasan használható különböző modellekhez. Az extra nagy kapacitás révén ritkábban szükséges a porzsák cseréje, ami időt takarít meg a takarítási feladatok során. Ideális választás építkezéseken, műhelyekben és ipari környezetben, ahol nagy mennyiségű szennyeződést kell eltávolítani.
Strapabíró anyag a tartós használatért
A porzsák masszív, több rétegű anyagból készült, amely biztosítja a nagyobb por- és törmelékszemcsék biztonságos tárolását anélkül, hogy kiszakadna vagy sérülne. Az erős kialakítás megakadályozza a por visszajutását a levegőbe, így garantálja a tisztább munkakörnyezetet és a porszívó szűrőjének védelmét.
Egyszerű csere és biztonságos záródás
A porzsák könnyen cserélhető, így a karbantartás gyorsan és egyszerűen elvégezhető. A biztonságos záródás megakadályozza, hogy a por és a szennyeződés a csere során kijusson, ezzel is csökkentve a takarítás utáni tisztítási időt.
Miért érdemes a DeWALT DXVA19-4201 porzsákot választani?
– Kompatibilis a 23 és 38 literes kapacitású DeWALT porszívókkal 
– Nagy kapacitása hosszabb üzemidőt biztosít cserék között 
– Többrétegű, strapabíró anyag a por és törmelék biztonságos tárolásához 
– Könnyen cserélhető, így gyors karbantartást tesz lehetővé 
– Megakadályozza a por visszajutását a levegőbe, tisztább környezetet teremtve
A DeWALT DXVA19-4201 porzsák segítségével porszívója mindig a legjobb teljesítményt nyújtja, még a legkeményebb munkakörülmények között is. Válassza ezt a strapabíró és nagy kapacitású porzsákot, hogy még hatékonyabban végezhesse el a takarítási feladatokat, és biztosítsa a tiszta, pormentes környezetet minden helyzetben!</t>
        </is>
      </c>
    </row>
    <row r="355">
      <c r="A355" s="3" t="inlineStr">
        <is>
          <t>DXVA19-5158</t>
        </is>
      </c>
      <c r="B355" s="2" t="inlineStr">
        <is>
          <t>DeWALT DXVA19-5158 hálós tartozéktároló zsák</t>
        </is>
      </c>
      <c r="C355" s="1" t="n">
        <v>2190.0</v>
      </c>
      <c r="D355" s="7" t="n">
        <f>HYPERLINK("https://www.somogyi.hu/product/dewalt-dxva19-5158-halos-tartozektarolo-zsak-dxva19-5158-18268","https://www.somogyi.hu/product/dewalt-dxva19-5158-halos-tartozektarolo-zsak-dxva19-5158-18268")</f>
        <v>0.0</v>
      </c>
      <c r="E355" s="7" t="n">
        <f>HYPERLINK("https://www.somogyi.hu/data/img/product_main_images/small/18268.jpg","https://www.somogyi.hu/data/img/product_main_images/small/18268.jpg")</f>
        <v>0.0</v>
      </c>
      <c r="F355" s="2" t="inlineStr">
        <is>
          <t>6921183097400</t>
        </is>
      </c>
      <c r="G355" s="4" t="inlineStr">
        <is>
          <t>A DEWALT száraz - nedves porszívókhoz tartozó hálós tartozéktartó zsák, melyben a porszívó tartozékai tárolhatók.</t>
        </is>
      </c>
    </row>
    <row r="356">
      <c r="A356" s="3" t="inlineStr">
        <is>
          <t>C7 MBC1860WB</t>
        </is>
      </c>
      <c r="B356" s="2" t="inlineStr">
        <is>
          <t>MIDEA C7 MBC1860WB porzsák nélküli porszívó, 600 W, 3 literes portartály, mosható HEPA12 szűrő, 5 m tápvezeték</t>
        </is>
      </c>
      <c r="C356" s="1" t="n">
        <v>35890.0</v>
      </c>
      <c r="D356" s="7" t="n">
        <f>HYPERLINK("https://www.somogyi.hu/product/midea-c7-mbc1860wb-porzsak-nelkuli-porszivo-600-w-3-literes-portartaly-moshato-hepa12-szuro-5-m-tapvezetek-c7-mbc1860wb-18938","https://www.somogyi.hu/product/midea-c7-mbc1860wb-porzsak-nelkuli-porszivo-600-w-3-literes-portartaly-moshato-hepa12-szuro-5-m-tapvezetek-c7-mbc1860wb-18938")</f>
        <v>0.0</v>
      </c>
      <c r="E356" s="7" t="n">
        <f>HYPERLINK("https://www.somogyi.hu/data/img/product_main_images/small/18938.jpg","https://www.somogyi.hu/data/img/product_main_images/small/18938.jpg")</f>
        <v>0.0</v>
      </c>
      <c r="F356" s="2" t="inlineStr">
        <is>
          <t>6956079714536</t>
        </is>
      </c>
      <c r="G356" s="4" t="inlineStr">
        <is>
          <t>Elege van a porzsákok cseréjéből, és olyan porszívót keres, ami könnyen kezelhető és hatékony? A MIDEA C7 MBC1860WB porzsák nélküli porszívó ideális választás minden háztartásba, ahol fontos a tisztaság és a kényelem. 
A 600 wattos motorteljesítményével és 130 wattos szívóerejével ez a készülék hatékonyan veszi fel a harcot a mindennapi szennyeződésekkel, legyen szó padlóról vagy szőnyegről. A porszívó mindössze 68 dB zajszinten működik, így nem zavarja meg otthona nyugalmát. A MIDEA C7 porzsák nélküli porszívó 3 literes portartálya hosszú időn át képes tárolni a szennyeződéseket, így ritkábban kell üríteni, és a takarítás megszakítások nélkül folytatódhat. 
A mosható HEPA12 szűrő biztosítja, hogy a levegőben szálló allergének és porszemcsék hatékonyan legyenek kiszűrve, így a készülék nemcsak tisztaságot, hanem egészségesebb levegőt is biztosít otthonában. A porszívóhoz tartozó 5 méteres tápvezeték és 8 méteres hatósugár lehetővé teszi, hogy egyetlen konnektorból nagyobb területeket is könnyedén megtisztítson. A teleszkópos fém szívócső és a különféle tisztítófejek – köztük általános tisztítófej, keskeny fej, résszívófej, és körkefés fej – minden helyzetben segítenek a hatékony takarításban, a tartozéktartó pedig kényelmesen elérhetővé teszi őket használat közben.
Nettó tömege mindössze 5,75 kg, ami könnyű mozgathatóságot és kezelhetőséget biztosít, hogy a takarítás soha ne legyen nehéz feladat.
Ne maradjon le erről a sokoldalú és praktikus porszívóról! Rendelje meg most a MIDEA C7 MBC1860WB porzsák nélküli porszívót, és élvezze a könnyed, hatékony takarítás minden előnyét otthonában!</t>
        </is>
      </c>
    </row>
    <row r="357">
      <c r="A357" s="3" t="inlineStr">
        <is>
          <t>DXVC4001</t>
        </is>
      </c>
      <c r="B357" s="2" t="inlineStr">
        <is>
          <t>DeWALT DXVC4001 filter, hagyományos</t>
        </is>
      </c>
      <c r="C357" s="1" t="n">
        <v>9690.0</v>
      </c>
      <c r="D357" s="7" t="n">
        <f>HYPERLINK("https://www.somogyi.hu/product/dewalt-dxvc4001-filter-hagyomanyos-dxvc4001-18260","https://www.somogyi.hu/product/dewalt-dxvc4001-filter-hagyomanyos-dxvc4001-18260")</f>
        <v>0.0</v>
      </c>
      <c r="E357" s="7" t="n">
        <f>HYPERLINK("https://www.somogyi.hu/data/img/product_main_images/small/18260.jpg","https://www.somogyi.hu/data/img/product_main_images/small/18260.jpg")</f>
        <v>0.0</v>
      </c>
      <c r="F357" s="2" t="inlineStr">
        <is>
          <t>6921183002961</t>
        </is>
      </c>
      <c r="G357" s="4" t="inlineStr">
        <is>
          <t>Hogyan biztosíthatja DeWALT porszívójának maximális teljesítményét és hosszú élettartamát?
A DeWALT DXVC4001 porszívó filter ideális kiegészítője minden DeWALT száraz-nedves porszívónak, amely garantálja a hatékony szűrést és a tartós, megbízható működést. Ez a magas minőségű filter kifejezetten a DeWALT gépekhez készült, így tökéletesen illeszkedik, és segít megőrizni a porszívó szívóerejét, miközben védi a motort a szennyeződésektől.
Kiváló szűrési teljesítmény
A DeWALT DXVC4001 filter fejlett szűrőrendszerrel rendelkezik, amely hatékonyan távolítja el a finom port, szennyeződéseket és egyéb részecskéket a levegőből, így biztosítva a tisztább munkakörnyezetet. A száraz és nedves porszívókhoz egyaránt alkalmas kialakításának köszönhetően sokoldalúan használható különböző munkafolyamatok során, legyen szó építkezésről, műhelyi feladatokról vagy otthoni takarításról.
Tartós kialakítás és könnyű karbantartás
Ez a filter strapabíró anyagból készült, amely ellenáll a nagyobb igénybevételnek is, így hosszú távon biztosítja a porszívó zavartalan működését. Az egyszerűen kivehető és tisztítható kivitel megkönnyíti a karbantartást, így gyorsan újra használatba veheti a porszívót anélkül, hogy bonyolult műveletekre lenne szükség.
Miért érdemes a DeWALT DXVC4001 porszívó filtert választani?
- Kifejezetten DeWALT száraz-nedves porszívókhoz tervezett, tökéletes kompatibilitással
- Hatékony szűrést biztosít, amely megőrzi a porszívó szívóerejét és védi a motort
- Tartós, strapabíró anyagból készült, amely hosszú élettartamot garantál
- Könnyen kivehető és tisztítható, így egyszerűvé teszi a karbantartást
Ne hagyja, hogy a porszívó teljesítménye csökkenjen a nem megfelelő szűrés miatt! Válassza a DeWALT DXVC4001 porszívó filtert, és biztosítsa készüléke hatékony működését hosszú távon! Ideális választás minden olyan feladathoz, ahol fontos a tisztaság és a porszívó maximális hatékonysága.</t>
        </is>
      </c>
    </row>
    <row r="358">
      <c r="A358" s="3" t="inlineStr">
        <is>
          <t>DXVA19-1300</t>
        </is>
      </c>
      <c r="B358" s="2" t="inlineStr">
        <is>
          <t>DeWALT DXVA19-1300 porszívófej, utility fej, 48 mm</t>
        </is>
      </c>
      <c r="C358" s="1" t="n">
        <v>3790.0</v>
      </c>
      <c r="D358" s="7" t="n">
        <f>HYPERLINK("https://www.somogyi.hu/product/dewalt-dxva19-1300-porszivofej-utility-fej-48-mm-dxva19-1300-18269","https://www.somogyi.hu/product/dewalt-dxva19-1300-porszivofej-utility-fej-48-mm-dxva19-1300-18269")</f>
        <v>0.0</v>
      </c>
      <c r="E358" s="7" t="n">
        <f>HYPERLINK("https://www.somogyi.hu/data/img/product_main_images/small/18269.jpg","https://www.somogyi.hu/data/img/product_main_images/small/18269.jpg")</f>
        <v>0.0</v>
      </c>
      <c r="F358" s="2" t="inlineStr">
        <is>
          <t>6921183097318</t>
        </is>
      </c>
      <c r="G358" s="4" t="inlineStr">
        <is>
          <t>Hogyan teheti még hatékonyabbá a takarítást egy professzionális porszívófej segítségével?
A DeWALT DXVA19-1300 porszívófej kifejezetten a DeWALT ipari porszívókhoz lett tervezve, hogy maximális hatékonyságot biztosítson a különféle takarítási feladatok során. Ez a utility fej nagyobb felületek gyors és alapos tisztítására alkalmas, miközben strapabíró kialakítása garantálja a hosszú élettartamot. Ha olyan porszívófejet keres, amely bármilyen kihívással könnyedén megbirkózik, a DXVA19-1300 ideális választás.
Kiváló kompatibilitás és hatékony tisztítás
A porszívófej 48 mm-es átmérővel rendelkezik, így tökéletesen illeszkedik a DeWALT ipari porszívókhoz. Az optimalizált méret és forma lehetővé teszi a hatékony légáramlást, amely biztosítja a kiváló szívóerőt. Legyen szó por, törmelék vagy egyéb szennyeződés eltávolításáról, ez a porszívófej minden helyzetben megbízható teljesítményt nyújt.
Masszív és tartós kialakítás
A DeWALT DXVA19-1300 porszívófej erős, ipari felhasználásra tervezett anyagokból készült, így ellenáll a rendszeres igénybevételnek. A strapabíró kialakítás lehetővé teszi, hogy akár építkezési vagy műhelyi környezetben is hatékonyan használható legyen, ahol nagy mennyiségű por és törmelék eltávolítása szükséges.
Sokoldalú felhasználás különböző környezetekben
Ez a utility fej különösen alkalmas nagyobb felületek, például padlók, műhelyek vagy garázsok takarítására. A széles kialakítás segíti a gyorsabb munkavégzést, így jelentősen csökkenti a takarítási időt. A precíz illeszkedés és a könnyű csatlakoztathatóság biztosítja, hogy a porszívófej használata egyszerű és kényelmes legyen.
Miért érdemes a DeWALT DXVA19-1300 porszívófejet választani?
– 48 mm-es átmérő, amely tökéletesen illeszkedik a DeWALT ipari porszívókhoz 
– Kiváló szívóerőt biztosít, így gyorsabb és hatékonyabb takarítást tesz lehetővé 
– Strapabíró, ipari minőségű anyagokból készült, hosszú élettartamot garantálva 
– Ideális nagyobb felületek, padlók, műhelyek és garázsok tisztításához 
– Könnyen csatlakoztatható és használható különböző környezetekben
A DeWALT DXVA19-1300 utility fej segítségével bármilyen takarítási feladatot gyorsan és hatékonyan elvégezhet. Tökéletes kiegészítője a DeWALT porszívóknak, amely megkönnyíti a munkát, és garantálja a tiszta, pormentes környezetet minden helyzetben. Válassza a professzionális minőséget, és élvezze a hatékonyabb munkavégzést!</t>
        </is>
      </c>
    </row>
    <row r="359">
      <c r="A359" s="3" t="inlineStr">
        <is>
          <t>DXV20PTA</t>
        </is>
      </c>
      <c r="B359" s="2" t="inlineStr">
        <is>
          <t>DeWALT DXV20PTA száraz-nedves porszívó, készülékcsatlakozóval, 20 liter, 15 Kpa, 37,8 l/s, 8 tartozék, 1050 W</t>
        </is>
      </c>
      <c r="C359" s="1" t="n">
        <v>61190.0</v>
      </c>
      <c r="D359" s="7" t="n">
        <f>HYPERLINK("https://www.somogyi.hu/product/dewalt-dxv20pta-szaraz-nedves-porszivo-keszulekcsatlakozoval-20-liter-15-kpa-37-8-l-s-8-tartozek-1050-w-dxv20pta-18256","https://www.somogyi.hu/product/dewalt-dxv20pta-szaraz-nedves-porszivo-keszulekcsatlakozoval-20-liter-15-kpa-37-8-l-s-8-tartozek-1050-w-dxv20pta-18256")</f>
        <v>0.0</v>
      </c>
      <c r="E359" s="7" t="n">
        <f>HYPERLINK("https://www.somogyi.hu/data/img/product_main_images/small/18256.jpg","https://www.somogyi.hu/data/img/product_main_images/small/18256.jpg")</f>
        <v>0.0</v>
      </c>
      <c r="F359" s="2" t="inlineStr">
        <is>
          <t>6921183000059</t>
        </is>
      </c>
      <c r="G359" s="4" t="inlineStr">
        <is>
          <t>Egy megbízható porszívót keres, ami száraz és nedves porszívózás során is egyaránt hatékony? 
A DeWALT DXV20PTA száraz-nedves porszívó tökéletes választás lehet Önnek. 20 literes tartályával és 15 KPa szívóteljesítményével garantáltan megbirkózik a legmakacsabb szennyeződésekkel is.
Ennek a porszívónak a légszállítási képessége 37,8 liter másodpercenként, ami biztosítja a gyors és hatékony takarítást. A csomagban található ∅48 mm átmérőjű és 2,1 méter hosszú gégecsőnek köszönhetően eléri az eldugott, nehezen hozzáférhető helyeket is. A porszívó tartozékai között megtalálható a gégecső, toldócső, Clean ConnectTM szűrő, porzsák, utility fej, padlótisztító fej, résszívófej és egy hálós tartozéktároló zsák, amelyek még rugalmasabbá teszik a használatát. A porszívó készülékcsatlakozójának segítségével a további gépek üzemeltetése is egyszerűen megoldható, ezzel biztosítva a hatékony munkavégzést.
A porzsák típusa DXVA19-4204, ami biztosítja a pormentes működést. A 3 méter hosszú gumi szigetelésű hálózati vezeték további kényelmet nyújt. A porszívó 230 V~ / 50 Hz / 1050 W-os teljesítménnyel működik, így erőteljes, mégis energiahatékony.
Válassza a DeWALT DXV20PTA száraz-nedves porszívót, és élvezze a hatékony, problémamentes takarítást!</t>
        </is>
      </c>
    </row>
    <row r="360">
      <c r="A360" s="3" t="inlineStr">
        <is>
          <t>DXVA19-2400</t>
        </is>
      </c>
      <c r="B360" s="2" t="inlineStr">
        <is>
          <t>DeWALT DXVA19-2400 körkefés porszívófej, 48 mm</t>
        </is>
      </c>
      <c r="C360" s="1" t="n">
        <v>3790.0</v>
      </c>
      <c r="D360" s="7" t="n">
        <f>HYPERLINK("https://www.somogyi.hu/product/dewalt-dxva19-2400-korkefes-porszivofej-48-mm-dxva19-2400-18265","https://www.somogyi.hu/product/dewalt-dxva19-2400-korkefes-porszivofej-48-mm-dxva19-2400-18265")</f>
        <v>0.0</v>
      </c>
      <c r="E360" s="7" t="n">
        <f>HYPERLINK("https://www.somogyi.hu/data/img/product_main_images/small/18265.jpg","https://www.somogyi.hu/data/img/product_main_images/small/18265.jpg")</f>
        <v>0.0</v>
      </c>
      <c r="F360" s="2" t="inlineStr">
        <is>
          <t>2221628700204</t>
        </is>
      </c>
      <c r="G360" s="4" t="inlineStr">
        <is>
          <t>Hogyan tisztíthatja meg hatékonyan a kényes felületeket anélkül, hogy kárt tenne bennük?
A DeWALT DXVA19-2400 körkefés porszívófej ideális választás, ha érzékeny felületek vagy szűk helyek alapos tisztítására van szüksége. Ez a különleges kialakítású porszívófej kíméletesen, mégis hatékonyan távolítja el a port és szennyeződéseket különféle felületekről, miközben megőrzi azok épségét. Tökéletes megoldás bútorok, szegélylécek, radiátorok és egyéb nehezen tisztítható területek tisztántartására.
Kíméletes tisztítás körkefés kialakítással
A porszívófej körkefés kialakítása lehetővé teszi, hogy finoman, mégis hatékonyan távolítsa el a port a kényes felületekről. A 48 mm-es átmérő biztosítja a tökéletes kompatibilitást a DeWALT ipari porszívókkal, miközben a puha sörték megvédik a felületeket a karcolásoktól. Ezáltal ideális megoldás olyan helyeken, ahol a hagyományos porszívófejek túl durva tisztítást végeznének.
Tartós és könnyen használható
A DeWALT DXVA19-2400 körkefés porszívófej kiváló minőségű, ipari használatra tervezett anyagokból készült, így hosszú élettartamot biztosít még rendszeres igénybevétel mellett is. Az ergonomikus kialakítás megkönnyíti a használatot, míg a könnyű csatlakoztathatóság garantálja, hogy gyorsan megkezdhesse a takarítást.
Sokoldalú felhasználhatóság különféle környezetekben
Ez a porszívófej sokféle helyzetben alkalmazható: legyen szó otthoni, irodai vagy ipari környezetben történő tisztításról. A puha kefék lehetővé teszik, hogy biztonságosan használja érzékeny felületeken, például fa bútorokon, üvegpolcokon vagy elektromos eszközökön.
Miért válassza a DeWALT DXVA19-2400 körkefés porszívófejet?
– 48 mm-es átmérő, amely tökéletesen illeszkedik a DeWALT ipari porszívókhoz 
– Körkefés kialakítás a kíméletes, mégis hatékony tisztítás érdekében 
– Puha sörték, amelyek megvédik a kényes felületeket a karcolásoktól 
– Tartós, strapabíró anyaghasználat a hosszú távú megbízhatóságért 
– Egyszerű csatlakoztathatóság és ergonomikus kialakítás a kényelmes használatért
Ha fontos Önnek a kényes felületek alapos és kíméletes tisztítása, a DeWALT DXVA19-2400 körkefés porszívófej a legjobb választás. Alkalmazásával biztos lehet benne, hogy minden felület tiszta marad, anélkül, hogy sérülést szenvedne!</t>
        </is>
      </c>
    </row>
    <row r="361">
      <c r="A361" s="3" t="inlineStr">
        <is>
          <t>DXVA25-4240</t>
        </is>
      </c>
      <c r="B361" s="2" t="inlineStr">
        <is>
          <t>DeWalt DXVA25-4240 porzsák Toolbox-hoz, 3 db</t>
        </is>
      </c>
      <c r="C361" s="1" t="n">
        <v>6190.0</v>
      </c>
      <c r="D361" s="7" t="n">
        <f>HYPERLINK("https://www.somogyi.hu/product/dewalt-dxva25-4240-porzsak-toolbox-hoz-3-db-dxva25-4240-18681","https://www.somogyi.hu/product/dewalt-dxva25-4240-porzsak-toolbox-hoz-3-db-dxva25-4240-18681")</f>
        <v>0.0</v>
      </c>
      <c r="E361" s="7" t="n">
        <f>HYPERLINK("https://www.somogyi.hu/data/img/product_main_images/small/18681.jpg","https://www.somogyi.hu/data/img/product_main_images/small/18681.jpg")</f>
        <v>0.0</v>
      </c>
      <c r="F361" s="2" t="inlineStr">
        <is>
          <t>6921183097141</t>
        </is>
      </c>
      <c r="G361" s="4" t="inlineStr">
        <is>
          <t>Elégedetlen a porszívója teljesítményével, mert a porzsák nem megfelelő minőségű? A DeWalt DXVA25-4240 porzsákokat kifejezetten a 15 literes DeWalt nedves és száraz porszívókhoz tervezték, hogy maximalizálják a gép hatékonyságát és tisztítási képességét. 
Ezek a robusztus anyagból készült porzsákok nemcsak tartósak, hanem kiváló szűrési képességgel is rendelkeznek, biztosítva, hogy a legapróbb porszemcsék is a helyükön maradjanak, miközben a porszívó szívóteljesítménye megmarad. A porzsákok kialakítása megkönnyíti a rögzítést és az eltávolítást, így a csere folyamata gyors és egyszerű. Ezzel időt takarít meg, és biztosítja, hogy a porszívó mindig készen álljon a használatra. A csomagban három darab porzsák található, így hosszabb ideig élvezheti a zavartalan tisztítást anélkül, hogy aggódnia kellene a porzsákok kifogyása miatt.
A porzsákok nemcsak hatékonyan tárolják a port és törmeléket, hanem segítenek megvédeni a porszívó motorját is, ami hosszabb élettartamot és jobb teljesítményt eredményez.
Ne hagyja, hogy a gyenge minőségű porzsákok hátráltassák porszívója teljesítményét – válassza a DeWalt DXVA25-4240 porzsákokat, és élvezze a hatékony és tiszta munkakörnyezet előnyeit!</t>
        </is>
      </c>
    </row>
    <row r="362">
      <c r="A362" s="3" t="inlineStr">
        <is>
          <t>VCEA01GACWCY</t>
        </is>
      </c>
      <c r="B362" s="2" t="inlineStr">
        <is>
          <t>Gorenje VCEA01GACWCY porszívó, 700 W, ciklonos, porzsák nélküli, 2,2 liter kapacitás, dupla HEPA szűrő, fehér</t>
        </is>
      </c>
      <c r="C362" s="1" t="n">
        <v>36590.0</v>
      </c>
      <c r="D362" s="7" t="n">
        <f>HYPERLINK("https://www.somogyi.hu/product/gorenje-vcea01gacwcy-porszivo-700-w-ciklonos-porzsak-nelkuli-2-2-liter-kapacitas-dupla-hepa-szuro-feher-vcea01gacwcy-18295","https://www.somogyi.hu/product/gorenje-vcea01gacwcy-porszivo-700-w-ciklonos-porzsak-nelkuli-2-2-liter-kapacitas-dupla-hepa-szuro-feher-vcea01gacwcy-18295")</f>
        <v>0.0</v>
      </c>
      <c r="E362" s="7" t="n">
        <f>HYPERLINK("https://www.somogyi.hu/data/img/product_main_images/small/18295.jpg","https://www.somogyi.hu/data/img/product_main_images/small/18295.jpg")</f>
        <v>0.0</v>
      </c>
      <c r="F362" s="2" t="inlineStr">
        <is>
          <t>3838782071232</t>
        </is>
      </c>
      <c r="G362" s="4" t="inlineStr">
        <is>
          <t>Hogyan tisztíthatja otthonát hatékonyan és környezetbarát módon, porzsák nélkül? A Gorenje VCEA01GACWCY ciklonos porszívó tökéletes megoldás azok számára, akik erőteljes és megbízható takarítógépet keresnek, anélkül, hogy a porzsákok cseréjével kellene foglalkozniuk. 
700 wattos teljesítményével ez a készülék könnyedén megbirkózik a különféle felületekkel, legyen szó kemény padlóról, szőnyegekről vagy nehezen elérhető helyekről. Ez a porzsák nélküli kivitel kényelmes és környezetbarát választás, hiszen a 2,2 literes portartály nagy kapacitást kínál, amely hosszú használatot tesz lehetővé anélkül, hogy gyakori ürítésre lenne szükség.
A Gorenje porszívó ciklonos technológiája garantálja, hogy a szívóerő állandó maradjon, még akkor is, ha a portartály megtelik, így mindig maximális teljesítményt nyújt a takarítás során. A készülék dupla HEPA szűrővel van felszerelve, amely nemcsak a port és szennyeződéseket, hanem az allergéneket is hatékonyan szűri ki, tisztább levegőt hagyva maga után – ez különösen fontos allergiában szenvedők számára.
Az univerzális kefe mellett a porszívó egy további toldalékkal is rendelkezik, amely lehetővé teszi a különböző felületek és nehezen elérhető sarkok alapos tisztítását. A nagy méretű gumikerekek biztosítják, hogy a porszívó könnyedén mozogjon a padlón anélkül, hogy megkarcolná azt, míg a fém cső stabilitást és hosszú élettartamot garantál.
A Gorenje VCEA01GACWCY porszívó elegáns fehér dizájnjával nemcsak hatékony, de stílusos megjelenésű is, így könnyedén illeszkedik bármilyen otthonba. Az egyszerűen üríthető portartály és a könnyen karbantartható szűrőrendszer biztosítja, hogy a készülék tisztítása is gyerekjáték legyen, így több időt fordíthat a valódi takarításra.
Fedezze fel a Gorenje VCEA01GACWCY ciklonos porszívó erejét, és tegyen egy lépést a környezetbarát, kényelmes takarítás felé! Ne hagyja ki ezt a lehetőséget, hogy otthonát porzsákok nélkül, maximális hatékonysággal tartsa tisztán – rendeljen most, és élvezze a tiszta, friss levegőt minden használat után!</t>
        </is>
      </c>
    </row>
    <row r="363">
      <c r="A363" s="3" t="inlineStr">
        <is>
          <t>DXV30SAPTA</t>
        </is>
      </c>
      <c r="B363" s="2" t="inlineStr">
        <is>
          <t>DeWALT DXV30SAPTA száraz-nedves porszívó, rozsdamentes váz, készülékcsatlakozóval, 30 liter, 15 Kpa, 37,8 l/s, 8 tartozék, 1050 W</t>
        </is>
      </c>
      <c r="C363" s="1" t="n">
        <v>73390.0</v>
      </c>
      <c r="D363" s="7" t="n">
        <f>HYPERLINK("https://www.somogyi.hu/product/dewalt-dxv30sapta-szaraz-nedves-porszivo-rozsdamentes-vaz-keszulekcsatlakozoval-30-liter-15-kpa-37-8-l-s-8-tartozek-1050-w-dxv30sapta-18257","https://www.somogyi.hu/product/dewalt-dxv30sapta-szaraz-nedves-porszivo-rozsdamentes-vaz-keszulekcsatlakozoval-30-liter-15-kpa-37-8-l-s-8-tartozek-1050-w-dxv30sapta-18257")</f>
        <v>0.0</v>
      </c>
      <c r="E363" s="7" t="n">
        <f>HYPERLINK("https://www.somogyi.hu/data/img/product_main_images/small/18257.jpg","https://www.somogyi.hu/data/img/product_main_images/small/18257.jpg")</f>
        <v>0.0</v>
      </c>
      <c r="F363" s="2" t="inlineStr">
        <is>
          <t>6921183087678</t>
        </is>
      </c>
      <c r="G363" s="4" t="inlineStr">
        <is>
          <t>Egy megbízható porszívót keres, ami száraz és nedves felületeken is egyaránt hatékony?
A DeWALT DXV30SAPTA száraz-nedves porszívó tökéletes választás lehet Önnek. 30 literes tartályával és 15 KPa szívóteljesítményével garantáltan megbirkózik a legmakacsabb szennyeződésekkel is. Rozsdamentes vázának köszönhetően ellenáll a korróziónak, biztosítva ezzel hosszú a hosszú élettartamot.
Ennek a porszívónak a légszállítási képessége 37,8 liter másodpercenként, ami biztosítja a gyors és hatékony takarítást. A csomagban található ∅48 mm átmérőjű és 2,1 méter hosszú gégecsőnek köszönhetően eléri az eldugott, nehezen hozzáférhető helyeket is. A porszívó tartozékai között megtalálható a gégecső, toldócső, Clean ConnectTM szűrő, porzsák, utility fej, padlótisztító fej, résszívófej és egy hálós tartozéktároló zsák, amelyek még rugalmasabbá teszik a használatát. A porszívó készülékcsatlakozójának segítségével a további gépek üzemeltetése is egyszerűen megoldható, ezzel biztosítva a hatékony munkavégzést.
A porzsák típusa DXVA19-4204, ami biztosítja a pormentes működést. A 3 méter hosszú gumi szigetelésű hálózati vezeték további kényelmet nyújt. A porszívó 230 V~ / 50 Hz / 1050 W-os teljesítménnyel működik, így erőteljes, mégis energiahatékony.
Válassza a DeWALT DXV30SAPTA száraz-nedves porszívót, és élvezze a hatékony, problémamentes takarítást!</t>
        </is>
      </c>
    </row>
    <row r="364">
      <c r="A364" s="3" t="inlineStr">
        <is>
          <t>DXV20P</t>
        </is>
      </c>
      <c r="B364" s="2" t="inlineStr">
        <is>
          <t>DeWALT DXV20P száraz-nedves porszívó, 20 liter, 15 Kpa, 37,8 l/s, 8 tartozék, 1050 W</t>
        </is>
      </c>
      <c r="C364" s="1" t="n">
        <v>51590.0</v>
      </c>
      <c r="D364" s="7" t="n">
        <f>HYPERLINK("https://www.somogyi.hu/product/dewalt-dxv20p-szaraz-nedves-porszivo-20-liter-15-kpa-37-8-l-s-8-tartozek-1050-w-dxv20p-18254","https://www.somogyi.hu/product/dewalt-dxv20p-szaraz-nedves-porszivo-20-liter-15-kpa-37-8-l-s-8-tartozek-1050-w-dxv20p-18254")</f>
        <v>0.0</v>
      </c>
      <c r="E364" s="7" t="n">
        <f>HYPERLINK("https://www.somogyi.hu/data/img/product_main_images/small/18254.jpg","https://www.somogyi.hu/data/img/product_main_images/small/18254.jpg")</f>
        <v>0.0</v>
      </c>
      <c r="F364" s="2" t="inlineStr">
        <is>
          <t>6921183087630</t>
        </is>
      </c>
      <c r="G364" s="4" t="inlineStr">
        <is>
          <t>Egy megbízható porszívót keres, ami száraz és nedves felületeken is egyaránt hatékony? 
A DeWALT DXV20P száraz-nedves porszívó tökéletes választás lehet Önnek. 20 literes tartályával és 15 KPa szívóteljesítményével garantáltan megbirkózik a legmakacsabb szennyeződésekkel is.
Ennek a porszívónak a légszállítási képessége 37,8 liter másodpercenként, ami biztosítja a gyors és hatékony takarítást. A csomagban található ∅48 mm átmérőjű és 2,1 méter hosszú gégecsőnek köszönhetően eléri az eldugott, nehezen hozzáférhető helyeket is. A porszívó tartozékai között megtalálható a gégecső, toldócső, Clean ConnectTM szűrő, porzsák, utility fej, padlótisztító fej, résszívófej és egy hálós tartozéktároló zsák, amelyek még rugalmasabbá teszik a használatát.
A porzsák típusa DXVA19-4204, ami biztosítja a pormentes működést. A 3 méter hosszú gumi szigetelésű hálózati vezeték további kényelmet nyújt. A porszívó 230 V~ / 50 Hz / 1050 W-os teljesítménnyel működik, így erőteljes, mégis energiahatékony.
Válassza a DeWALT DXV20P száraz-nedves porszívót, és élvezze a hatékony, problémamentes takarítást!</t>
        </is>
      </c>
    </row>
    <row r="365">
      <c r="A365" s="3" t="inlineStr">
        <is>
          <t>MVC72FW</t>
        </is>
      </c>
      <c r="B365" s="2" t="inlineStr">
        <is>
          <t>Gorenje MVC72FW morzsaporszívó, 55 W, nedves/száraz tisztítás, 0,4 literes tartály, beépített akkumulátor</t>
        </is>
      </c>
      <c r="C365" s="1" t="n">
        <v>18190.0</v>
      </c>
      <c r="D365" s="7" t="n">
        <f>HYPERLINK("https://www.somogyi.hu/product/gorenje-mvc72fw-morzsaporszivo-55-w-nedves-szaraz-tisztitas-0-4-literes-tartaly-beepitett-akkumulator-mvc72fw-15812","https://www.somogyi.hu/product/gorenje-mvc72fw-morzsaporszivo-55-w-nedves-szaraz-tisztitas-0-4-literes-tartaly-beepitett-akkumulator-mvc72fw-15812")</f>
        <v>0.0</v>
      </c>
      <c r="E365" s="7" t="n">
        <f>HYPERLINK("https://www.somogyi.hu/data/img/product_main_images/small/15812.jpg","https://www.somogyi.hu/data/img/product_main_images/small/15812.jpg")</f>
        <v>0.0</v>
      </c>
      <c r="F365" s="2" t="inlineStr">
        <is>
          <t>3838782040542</t>
        </is>
      </c>
      <c r="G365" s="4" t="inlineStr">
        <is>
          <t>Szüksége van egy praktikus, kompakt és sokoldalú takarítóeszközre, amely mindig kéznél van a gyors tisztításhoz? A Gorenje MVC72FW morzsaporszívó ideális választás azok számára, akik hatékony, könnyen kezelhető eszközt keresnek a mindennapi kis felületek tisztítására. 
Az 55 wattos teljesítmény és a nedves-száraz tisztítási funkció lehetővé teszi, hogy egyaránt kezelje a szilárd és folyékony szennyeződéseket, így tökéletes megoldás konyhai morzsák, kiömlött folyadékok vagy más apró rendetlenségek eltávolítására. A morzsaporszívó beépített akkumulátoros kivitelben készült, 7,2 voltos akkumulátorral, amely 14 perc folyamatos működést biztosít egyetlen töltéssel. Ez az idő elegendő a gyors tisztításokhoz, és ideális választás akkor is, ha nincs a közelben konnektor. A 0,4 literes portartály megfelelő méretet kínál a kisebb szennyeződések tárolására, és könnyen kiüríthető, így mindig tiszta állapotban használhatja a készüléket. Az ergonomikusan elhelyezett kapcsológomb egyszerű kezelhetőséget biztosít, így az eszköz működtetése gyerekjáték. A Gorenje MVC72FW morzsaporszívó kis méretének és könnyű kialakításának köszönhetően kényelmesen hordozható és tárolható, így mindig kéznél lehet, ha szüksége van rá. Ráadásul elegáns megjelenése révén bármely otthon stílusos kiegészítője lehet.
Válassza a Gorenje MVC72FW morzsaporszívót, és tapasztalja meg a gyors, kényelmes és hatékony tisztítást egyetlen gombnyomással!</t>
        </is>
      </c>
    </row>
    <row r="366">
      <c r="A366" s="3" t="inlineStr">
        <is>
          <t>P5 MCS2021WB</t>
        </is>
      </c>
      <c r="B366" s="2" t="inlineStr">
        <is>
          <t>MIDEA P5 MCS2021WB akkumulátoros rúdporszívó, 150 W, vezeték nélküli, 2 sebességfokozat, 0,45 literes portartály</t>
        </is>
      </c>
      <c r="C366" s="1" t="n">
        <v>46790.0</v>
      </c>
      <c r="D366" s="7" t="n">
        <f>HYPERLINK("https://www.somogyi.hu/product/midea-p5-mcs2021wb-akkumulatoros-rudporszivo-150-w-vezetek-nelkuli-2-sebessegfokozat-0-45-literes-portartaly-p5-mcs2021wb-18940","https://www.somogyi.hu/product/midea-p5-mcs2021wb-akkumulatoros-rudporszivo-150-w-vezetek-nelkuli-2-sebessegfokozat-0-45-literes-portartaly-p5-mcs2021wb-18940")</f>
        <v>0.0</v>
      </c>
      <c r="E366" s="7" t="n">
        <f>HYPERLINK("https://www.somogyi.hu/data/img/product_main_images/small/18940.jpg","https://www.somogyi.hu/data/img/product_main_images/small/18940.jpg")</f>
        <v>0.0</v>
      </c>
      <c r="F366" s="2" t="inlineStr">
        <is>
          <t>6956079711702</t>
        </is>
      </c>
      <c r="G366" s="4" t="inlineStr">
        <is>
          <t>Elege van a nehéz porszívók cipeléséből és a kábelek állandó kerülgetéséből? A MIDEA P5 MCS2021WB akkumulátoros rúdporszívó vezeték nélküli megoldást kínál, amely megkönnyíti a mindennapi takarítást. 
Ez a 2 az 1-ben készülék rúdporszívóként és morzsaporszívóként is használható, így bármilyen tisztítási feladatot könnyedén elvégezhet vele. A 150 wattos motorteljesítmény és a Li-ion technológia (21,6V, 2000 mAh) garantálja a hosszú élettartamot és a megbízható teljesítményt. A MIDEA P5 két sebességfokozattal rendelkezik, amelyek lehetővé teszik a szívóerő testreszabását a különböző feladatokhoz. Akár 45 perces üzemideje elegendő ahhoz, hogy egyetlen töltéssel teljesen kitakarítsa otthonát. 
A padlótisztító fej motoros kefével és LED világítással felszerelt, így még a sötét sarkokban és a bútorok alatt is könnyedén észreveheti a szennyeződéseket. A résszívó fej és a többfunkciós kefe további rugalmasságot biztosít a különböző felületek és nehezen elérhető helyek tisztításához. A 0,45 literes portartály és a cyclone szűrő biztosítja, hogy a porszívó hatékonyan gyűjtse össze a port és a szennyeződéseket, miközben tiszta levegőt bocsát ki. A készülék hálózati akkumulátortöltő adapterrel érkezik, így gyorsan feltöltheti, amikor szükséges. A fali konzolnak köszönhetően pedig a tárolás is egyszerű és helytakarékos.
Mindössze 2,5 kg-os nettó tömegével a MIDEA P5 rendkívül könnyű és egyszerűen manőverezhető, így még a hosszabb takarítási feladatok sem jelentenek megterhelést. Ez a sokoldalú, vezeték nélküli porszívó tökéletes megoldás azoknak, akik gyorsan és hatékonyan szeretnék rendben tartani otthonukat.
Ne várjon tovább, és élvezze a takarítás új szintjét! Rendelje meg a MIDEA P5 MCS2021WB akkumulátoros rúdporszívót most, és tapasztalja meg a vezeték nélküli szabadság és a kiváló teljesítmény előnyeit minden egyes használatkor!</t>
        </is>
      </c>
    </row>
    <row r="367">
      <c r="A367" s="3" t="inlineStr">
        <is>
          <t>DXV15T</t>
        </is>
      </c>
      <c r="B367" s="2" t="inlineStr">
        <is>
          <t>DeWalt DXV15T Toolbox száraz-nedves porszívó, 15 literes, 1100W, 12 KPa szívóteljesítmény, 4,85m tápkábel</t>
        </is>
      </c>
      <c r="C367" s="1" t="n">
        <v>61990.0</v>
      </c>
      <c r="D367" s="7" t="n">
        <f>HYPERLINK("https://www.somogyi.hu/product/dewalt-dxv15t-toolbox-szaraz-nedves-porszivo-15-literes-1100w-12-kpa-szivoteljesitmeny-4-85m-tapkabel-dxv15t-18680","https://www.somogyi.hu/product/dewalt-dxv15t-toolbox-szaraz-nedves-porszivo-15-literes-1100w-12-kpa-szivoteljesitmeny-4-85m-tapkabel-dxv15t-18680")</f>
        <v>0.0</v>
      </c>
      <c r="E367" s="7" t="n">
        <f>HYPERLINK("https://www.somogyi.hu/data/img/product_main_images/small/18680.jpg","https://www.somogyi.hu/data/img/product_main_images/small/18680.jpg")</f>
        <v>0.0</v>
      </c>
      <c r="F367" s="2" t="inlineStr">
        <is>
          <t>6921183087173</t>
        </is>
      </c>
      <c r="G367" s="4" t="inlineStr">
        <is>
          <t>Egy megbízható, sokoldalú megoldást keres műhely vagy otthoni takarításhoz? A DeWalt DXV15T Toolbox száraz-nedves porszívó egy kiváló választás minden olyan helyzetre, ahol hatékonyság és erő találkozik. 
Az 1100 wattos motor és a 12 KPa szívóteljesítmény lehetővé teszi, hogy a legmakacsabb szennyeződéseket is könnyedén eltávolítsa, legyen szó száraz vagy nedves szennyeződésről. A 15 literes tartály elegendő kapacitást biztosít ahhoz, hogy ne kelljen gyakran kiüríteni, így időt takarít meg Önnek. A porszívó légszállítása 42,5 liter másodpercenként, ami gyors és hatékony tisztítást tesz lehetővé. 
A 48 mm átmérőjű és 2,1 méter hosszú gégecső rugalmas és könnyen kezelhető, így a nehezen hozzáférhető helyeken is kiválóan teljesít. A készülékhez mellékelt tartozékok, mint a résszívófej, általános fej, és a Clean Connect™ szűrő, biztosítják, hogy minden feladatot a legmegfelelőbb eszközzel végezzen el. A porszívó DXVA19-4240 típusú porzsákkal működik, mely biztosítja a por és szennyeződés hatékony tárolását.
A 4,85 méter hosszú gumi szigetelésű hálózati vezeték lehetővé teszi, hogy nagyobb területen is kényelmesen dolgozzon, anélkül, hogy folyamatosan konnektort kellene váltania. Az ergonomikus kialakításnak köszönhetően a porszívó könnyen mozgatható, míg a szerszámadapter révén a porszívót szerszámgépekhez is csatlakoztathatja, így a keletkező port azonnal elszívja a munka közben.
Ne hagyja ki ezt a praktikus és hatékony eszközt, válassza a DeWalt DXV15T Toolbox száraz-nedves porszívót, és tapasztalja meg a professzionális tisztítás élményét minden egyes használatkor!</t>
        </is>
      </c>
    </row>
    <row r="368">
      <c r="A368" s="3" t="inlineStr">
        <is>
          <t>MP3L</t>
        </is>
      </c>
      <c r="B368" s="2" t="inlineStr">
        <is>
          <t>MIDEA porszívó porzsák, mikroszűrős, 3 liter űrtartalom, 5db/csomag, 1db motorfilter</t>
        </is>
      </c>
      <c r="C368" s="1" t="n">
        <v>2490.0</v>
      </c>
      <c r="D368" s="7" t="n">
        <f>HYPERLINK("https://www.somogyi.hu/product/midea-porszivo-porzsak-mikroszuros-3-liter-urtartalom-5db-csomag-1db-motorfilter-mp3l-19363","https://www.somogyi.hu/product/midea-porszivo-porzsak-mikroszuros-3-liter-urtartalom-5db-csomag-1db-motorfilter-mp3l-19363")</f>
        <v>0.0</v>
      </c>
      <c r="E368" s="7" t="n">
        <f>HYPERLINK("https://www.somogyi.hu/data/img/product_main_images/small/19363.jpg","https://www.somogyi.hu/data/img/product_main_images/small/19363.jpg")</f>
        <v>0.0</v>
      </c>
      <c r="F368" s="2" t="inlineStr">
        <is>
          <t>5999550500519</t>
        </is>
      </c>
      <c r="G368" s="4" t="inlineStr">
        <is>
          <t>Hogyan lehet fenntartani a porszívó maximális szívóteljesítményét hosszú távon is?
A válasz egyszerű: a MIDEA mikroszűrős porzsák segítségével, amely nemcsak hatékony porgyűjtést biztosít, hanem a motor élettartamát is meghosszabbítja. A csomag 5 darab, 3 literes űrtartalmú porzsákot tartalmaz, valamint ajándékba 1 darab motorfiltert, hogy teljes legyen a védelem. A porzsák a következő modellekkel kompatibilis: MIDEA B7 MBC1780WB, MIDEA MBO1PLRE
Hatékony szűrés, tisztább levegő 
A mikroszűrős technológia gondoskodik róla, hogy a finom por és az allergén részecskék ne jussanak vissza a levegőbe. Ez különösen fontos kisgyermekes családokban, allergiások vagy háziállatot tartó háztartások esetében. A kiváló szűrési teljesítmény segít megőrizni az otthon levegőjének frissességét.
Nagy kapacitás, ritkább csere 
A porzsákok 3 literes űrtartalma lehetővé teszi, hogy hosszabb ideig használhatók legyenek, így ritkábban kell cserélni őket. Ez nemcsak kényelmes, hanem gazdaságos megoldás is a háztartás számára.
Komplett csomag ajándék motorfilterrel 
A csomagban található 5 darab porzsák mellé ajándék 1 darab motorvédő szűrő is jár, amely tovább csökkenti a por bejutását a porszívó motorjába, növelve ezzel a készülék élettartamát. A filter egyszerűen beilleszthető, így nem igényel külön szaktudást a cseréje.
Miért ajánlott a MIDEA mikroszűrős porzsák?
- Kiváló szűrési hatékonyság a tisztább levegőért
- 3 literes kapacitás a kevesebb cseréért
- 5 darab porzsák + 1 ajándék motorfilter
- Kompatibilis MIDEA porszívókkal
- Egyszerű használat és csere
Ne engedje, hogy a por legyőzze otthonát – válassza a MIDEA mikroszűrős porzsák csomagot, és élvezze a higiénikus, hatékony porszívózást minden alkalommal!</t>
        </is>
      </c>
    </row>
    <row r="369">
      <c r="A369" s="3" t="inlineStr">
        <is>
          <t>DXVA20-1200A</t>
        </is>
      </c>
      <c r="B369" s="2" t="inlineStr">
        <is>
          <t>DeWalt DXVA20-1200A szivacs szűrő Toolbox-hoz</t>
        </is>
      </c>
      <c r="C369" s="1" t="n">
        <v>3390.0</v>
      </c>
      <c r="D369" s="7" t="n">
        <f>HYPERLINK("https://www.somogyi.hu/product/dewalt-dxva20-1200a-szivacs-szuro-toolbox-hoz-dxva20-1200a-18683","https://www.somogyi.hu/product/dewalt-dxva20-1200a-szivacs-szuro-toolbox-hoz-dxva20-1200a-18683")</f>
        <v>0.0</v>
      </c>
      <c r="E369" s="7" t="n">
        <f>HYPERLINK("https://www.somogyi.hu/data/img/product_main_images/small/18683.jpg","https://www.somogyi.hu/data/img/product_main_images/small/18683.jpg")</f>
        <v>0.0</v>
      </c>
      <c r="F369" s="2" t="inlineStr">
        <is>
          <t>6921183097431</t>
        </is>
      </c>
      <c r="G369" s="4" t="inlineStr">
        <is>
          <t>Szeretné meghosszabbítani porszívója élettartamát és megőrizni a maximális szívóteljesítményt? A DeWalt DXVA20-1200A szivacs szűrő a tökéletes megoldás, amelyet kifejezetten a Toolbox porszívókhoz fejlesztettek ki, hogy a tisztítási folyamat hatékonyságát fenntartsa. 
Ez a könnyen beszerelhető szűrő kiválóan szűri meg a finom port és szennyeződéseket, miközben biztosítja, hogy porszívója mindig a legmagasabb teljesítményen működjön. A DeWalt DXVA20-1200A szivacs szűrő rendkívül tartós anyagból készült, így hosszú távú védelmet nyújt a porszívó motorjának, megakadályozva a por és a törmelék bejutását. Ez a szűrő nemcsak a hatékonyságot növeli, hanem a gép élettartamát is meghosszabbítja, biztosítva, hogy porszívója hosszú évekig megbízhatóan szolgálja Önt. A szűrő könnyedén tisztítható és cserélhető, ami megkönnyíti a karbantartást és a mindennapi használatot. Kompatibilis számos DeWalt® kiegészítővel, így biztos lehet benne, hogy a legjobb teljesítményt hozza ki porszívójából, bármilyen munkát is végezzen.
Válassza a DeWalt DXVA20-1200A szivacs szűrőt, és tapasztalja meg, hogyan válik a tisztítás gyorsabbá, egyszerűbbé és hatékonyabbá – gondoskodjon porszívója csúcsformájáról minden nap!</t>
        </is>
      </c>
    </row>
    <row r="370">
      <c r="A370" s="3" t="inlineStr">
        <is>
          <t>DXVA19-1400</t>
        </is>
      </c>
      <c r="B370" s="2" t="inlineStr">
        <is>
          <t>DeWALT DXVA19-1400 résszívófej, 48 mm</t>
        </is>
      </c>
      <c r="C370" s="1" t="n">
        <v>5590.0</v>
      </c>
      <c r="D370" s="7" t="n">
        <f>HYPERLINK("https://www.somogyi.hu/product/dewalt-dxva19-1400-resszivofej-48-mm-dxva19-1400-18266","https://www.somogyi.hu/product/dewalt-dxva19-1400-resszivofej-48-mm-dxva19-1400-18266")</f>
        <v>0.0</v>
      </c>
      <c r="E370" s="7" t="n">
        <f>HYPERLINK("https://www.somogyi.hu/data/img/product_main_images/small/18266.jpg","https://www.somogyi.hu/data/img/product_main_images/small/18266.jpg")</f>
        <v>0.0</v>
      </c>
      <c r="F370" s="2" t="inlineStr">
        <is>
          <t>6921183097332</t>
        </is>
      </c>
      <c r="G370" s="4" t="inlineStr">
        <is>
          <t>Hogyan érheti el a legszűkebb résekben is a tökéletes tisztaságot?
A DeWALT DXVA19-1400 résszívófej ideális megoldást kínál azok számára, akik hatékonyan szeretnék eltávolítani a port és a szennyeződéseket a nehezen hozzáférhető helyekről. Ez a speciálisan kialakított szívófej tökéletes kiegészítője a DeWALT ipari porszívóknak, hiszen keskeny kialakítása lehetővé teszi a szűk rések, sarkok, valamint bútorok alatti területek alapos tisztítását.
Keskeny kialakítás a nehezen elérhető helyek tisztításához
A 48 mm-es átmérőjű résszívófej szorosan illeszkedik a DeWALT porszívókhoz, biztosítva a hatékony légáramlást és szívóerőt még a legszűkebb helyeken is. Hosszú, vékony kialakítása lehetővé teszi, hogy könnyedén hozzáférjen az olyan területekhez, ahová a hagyományos porszívófejekkel nehéz eljutni, így biztosítva az alapos tisztítást még a rejtett helyeken is.
Strapabíró anyaghasználat a hosszú élettartam érdekében
A DeWALT DXVA19-1400 résszívófej kiváló minőségű, ipari használatra tervezett anyagokból készült, amelyek ellenállnak a mindennapos intenzív igénybevételnek. Ez a tartós kialakítás garantálja, hogy a szívófej hosszú távon is megbízhatóan működjön, így Ön mindig számíthat rá a takarítási feladatok során.
Kompatibilitás és egyszerű használat
A résszívófej könnyen csatlakoztatható a 48 mm átmérőjű DeWALT ipari porszívókhoz, így gyorsan munkára fogható. A praktikus kialakítás és az egyszerű használat lehetővé teszi, hogy rövid idő alatt végezzen a takarítással, miközben biztosítja a legapróbb szennyeződések eltávolítását is.
Miért válassza a DeWALT DXVA19-1400 résszívófejet?
– Keskeny kialakítás a szűk helyek és nehezen hozzáférhető területek alapos tisztításához 
– 48 mm-es átmérő, amely tökéletesen illeszkedik a DeWALT ipari porszívókhoz 
– Strapabíró, hosszú élettartamú anyag, amely ellenáll a mindennapi igénybevételnek 
– Könnyű csatlakoztatás és használat a gyors és hatékony takarításért 
– Ideális választás műhelyek, garázsok, autók és otthoni környezet takarításához
Ha a nehezen elérhető helyek tisztítása is fontos Önnek, a DeWALT DXVA19-1400 résszívófej a tökéletes kiegészítője lehet porszívójának. Segítségével még az apró résekben, szűk sarkokban és bútorok alatt is garantált a tisztaság!</t>
        </is>
      </c>
    </row>
    <row r="371">
      <c r="A371" s="3" t="inlineStr">
        <is>
          <t>DXVA19-2600</t>
        </is>
      </c>
      <c r="B371" s="2" t="inlineStr">
        <is>
          <t>DeWalt DXVA19-2600 szuper flexibilis gégecső Toolbox-hoz, 48 mm x 2,1 m</t>
        </is>
      </c>
      <c r="C371" s="1" t="n">
        <v>14290.0</v>
      </c>
      <c r="D371" s="7" t="n">
        <f>HYPERLINK("https://www.somogyi.hu/product/dewalt-dxva19-2600-szuper-flexibilis-gegecso-toolbox-hoz-48-mm-x-2-1-m-dxva19-2600-18682","https://www.somogyi.hu/product/dewalt-dxva19-2600-szuper-flexibilis-gegecso-toolbox-hoz-48-mm-x-2-1-m-dxva19-2600-18682")</f>
        <v>0.0</v>
      </c>
      <c r="E371" s="7" t="n">
        <f>HYPERLINK("https://www.somogyi.hu/data/img/product_main_images/small/18682.jpg","https://www.somogyi.hu/data/img/product_main_images/small/18682.jpg")</f>
        <v>0.0</v>
      </c>
      <c r="F371" s="2" t="inlineStr">
        <is>
          <t>6921183097202</t>
        </is>
      </c>
      <c r="G371" s="4" t="inlineStr">
        <is>
          <t>Meglévő DeWalt porszívójának gégecsöve megsérült, cserére szorul? A DeWalt DXVA19-2600 szuper flexibilis gégecső kifejezetten a Toolbox porszívókhoz lett tervezve, hogy a legnagyobb hatékonyságot és kényelmet biztosítsa a mindennapi tisztítás során. 
Ez a 48 mm átmérőjű és 2,1 méter hosszú gégecső nemcsak kiváló rugalmasságot nyújt, hanem rendkívül strapabíró is, így ideális választás bármilyen műhelyi vagy otthoni porszívózási feladathoz.
Az egyedülállóan flexibilis kialakítás lehetővé teszi, hogy a legszűkebb helyekre is könnyedén hozzáférjen, miközben megőrzi a teljesítményt és az optimális légáramlást. A 48 mm-es átmérő garantálja, hogy a nagyobb méretű törmelékek és por is gond nélkül áthaladjanak, így nem kell aggódnia az esetleges eltömődések miatt. Ez a gégecső tökéletes kiegészítője bármely DeWalt Toolbox porszívónak, mivel tökéletesen illeszkedik a készülékek csatlakozójába, biztosítva a szivárgásmentes és hatékony tisztítást. Az időjárásálló és kopásálló anyagokból készült gégecső hosszú élettartamot ígér, így Ön hosszú éveken át élvezheti a megbízható működés előnyeit. Akár poros műhelyekben, akár nedves környezetben dolgozik, ez a gégecső bírja a terhelést, és megkönnyíti a munka folyamatát.
Válassza a DeWalt DXVA19-2600 szuper flexibilis gégecsövet, és tapasztalja meg a professzionális tisztítás szabadságát és rugalmasságát, amelyre mindig is vágyott!</t>
        </is>
      </c>
    </row>
    <row r="372">
      <c r="A372" s="3" t="inlineStr">
        <is>
          <t>B7 MBC1780WB</t>
        </is>
      </c>
      <c r="B372" s="2" t="inlineStr">
        <is>
          <t>MIDEA B7 MBC1780WB porzsákos porszívó, 800 W, 3 literes porzsák, mosható HEPA12 szűrő, 5 m tápvezeték</t>
        </is>
      </c>
      <c r="C372" s="1" t="n">
        <v>36390.0</v>
      </c>
      <c r="D372" s="7" t="n">
        <f>HYPERLINK("https://www.somogyi.hu/product/midea-b7-mbc1780wb-porzsakos-porszivo-800-w-3-literes-porzsak-moshato-hepa12-szuro-5-m-tapvezetek-b7-mbc1780wb-18939","https://www.somogyi.hu/product/midea-b7-mbc1780wb-porzsakos-porszivo-800-w-3-literes-porzsak-moshato-hepa12-szuro-5-m-tapvezetek-b7-mbc1780wb-18939")</f>
        <v>0.0</v>
      </c>
      <c r="E372" s="7" t="n">
        <f>HYPERLINK("https://www.somogyi.hu/data/img/product_main_images/small/18939.jpg","https://www.somogyi.hu/data/img/product_main_images/small/18939.jpg")</f>
        <v>0.0</v>
      </c>
      <c r="F372" s="2" t="inlineStr">
        <is>
          <t>6956079714505</t>
        </is>
      </c>
      <c r="G372" s="4" t="inlineStr">
        <is>
          <t>Unja már, hogy porszívózás közben nem tud minden helyet elérni, vagy túl gyorsan megtelik a porzsák? A MIDEA B7 MBC1780WB porzsákos porszívó minden igényére megoldást nyújt, legyen szó nagyobb területek alapos tisztításáról vagy a nehezen hozzáférhető helyek porszívózásáról. 
Ez az 800 wattos porszívó lenyűgöző 200 wattos szívóerőt biztosít, így a legkisebb szennyeződéseket is könnyedén eltávolítja, miközben alacsony, mindössze 68 dB-es zajszinten működik, ami a halkabb takarítást garantálja. A 3 literes porzsák kapacitásának köszönhetően nem kell gyakran cserélni a porzsákot, így időt és energiát spórolhat. A mosható HEPA12 szűrő gondoskodik arról, hogy a levegő mindig tiszta maradjon, kiszűrve a finom porszemcséket és allergéneket, így nem csak tisztaságot, hanem egészségesebb környezetet is biztosít.
A porszívó 5 méter hosszú tápvezetékkel és 8 méteres hatósugárral rendelkezik, amely lehetővé teszi, hogy egyetlen konnektorból nagyobb területeket is kényelmesen megtisztítson anélkül, hogy folyamatosan áramforrást kellene váltania. A teleszkópos fém szívócső és a különböző tisztítófejek – általános tisztítófej, résszívófej, körkefés fej – segítségével a legkülönfélébb feladatokat is könnyedén elvégezheti, legyen szó szőnyegekről, parkettáról vagy szűk helyekről.
A MIDEA B7 MBC1780WB porzsákos porszívó beépített tartozéktárolóval rendelkezik, így minden tisztítófej és kiegészítő mindig kéznél van, amikor szüksége van rájuk. Az eszköz nettó tömege 6,15 kg, ami könnyű kezelhetőséget és hordozhatóságot biztosít, így a takarítás sosem volt még ilyen egyszerű.
Ne maradjon le erről a kiváló lehetőségről! Vásárolja meg a MIDEA B7 MBC1780WB porzsákos porszívót most, és élvezze az erőteljes, ugyanakkor halk takarítás előnyeit otthonában!</t>
        </is>
      </c>
    </row>
    <row r="373">
      <c r="A373" s="3" t="inlineStr">
        <is>
          <t>SVC144FBK</t>
        </is>
      </c>
      <c r="B373" s="2" t="inlineStr">
        <is>
          <t>Gorenje SVC144FBK álló porszívó, 95 W, 2 in 1, HEPA szűrő, TURBO kefe, Li-Ion akkumulátor, 0,6 L-es tartály</t>
        </is>
      </c>
      <c r="C373" s="1" t="n">
        <v>45990.0</v>
      </c>
      <c r="D373" s="7" t="n">
        <f>HYPERLINK("https://www.somogyi.hu/product/gorenje-svc144fbk-allo-porszivo-95-w-2-in-1-hepa-szuro-turbo-kefe-li-ion-akkumulator-0-6-l-es-tartaly-svc144fbk-18294","https://www.somogyi.hu/product/gorenje-svc144fbk-allo-porszivo-95-w-2-in-1-hepa-szuro-turbo-kefe-li-ion-akkumulator-0-6-l-es-tartaly-svc144fbk-18294")</f>
        <v>0.0</v>
      </c>
      <c r="E373" s="7" t="n">
        <f>HYPERLINK("https://www.somogyi.hu/data/img/product_main_images/small/18294.jpg","https://www.somogyi.hu/data/img/product_main_images/small/18294.jpg")</f>
        <v>0.0</v>
      </c>
      <c r="F373" s="2" t="inlineStr">
        <is>
          <t>3838782029400</t>
        </is>
      </c>
      <c r="G373" s="4" t="inlineStr">
        <is>
          <t>Hogyan teheti otthona takarítását gyorsabbá és hatékonyabbá egy vezeték nélküli porszívóval? A Gorenje SVC144FBK álló porszívó modern megoldást kínál a mindennapi takarításra, legyen szó a padlóról, szőnyegekről vagy akár nehezen hozzáférhető helyekről. 
A 95 wattos teljesítménnyel és 2 az 1-ben funkcióval ez a készülék nemcsak álló porszívóként, hanem könnyen átalakítható morzsaporszívóként is használható, így tökéletes választás minden helyiség tisztán tartására. Legyen szó gyors morzsa eltakarításról, vagy alaposabb porszívózásról, ez a készülék minden helyzetben megállja a helyét.
A HEPA szűrőnek köszönhetően a levegő is tisztább marad, hiszen ez a szűrőrendszer hatékonyan szűri ki a finom porszemcséket és allergéneket, ami különösen fontos az allergiások számára. 
A beépített TURBO kefe extra erővel tisztítja meg a szőnyegeket és kemény padlókat, eltávolítva még a mélyen megbújó szennyeződéseket is. A készülék vezeték nélküli kialakítása lehetővé teszi, hogy bármely helyiségben szabadon mozoghasson anélkül, hogy kábelekkel kellene bajlódnia. A Gorenje SVC144FBK porszívó 14,4 V-os Li-Ion akkumulátorral rendelkezik, amely egyetlen töltéssel akár 38 perces üzemidőt is biztosít. Az akkumulátor telítettség jelzője segítségével mindig nyomon követheti, mennyi idő áll még rendelkezésére a takarítás befejezésére. 
A 0,6 literes portartály könnyedén kiüríthető és mosható, így nincs szükség porzsákokra, ami környezetbarát megoldást kínál. A készülék további előnye a praktikus, összecsukható kialakítás, amely egyszerű tárolhatóságot biztosít, így kis helyen is könnyen elfér. A gumibevonatú kerekek kímélik a padlófelületet, míg a LED világítás lehetővé teszi, hogy még a sötét, nehezen elérhető helyeken is hatékonyan takaríthasson.
Válassza a Gorenje SVC144FBK álló porszívót, és tegye könnyedebbé és hatékonyabbá otthona takarítását! Élvezze a vezeték nélküli szabadságot, a többfunkciós kialakítást és a kényelmes tárolhatóságot, hogy otthona mindig tiszta és rendezett legyen!</t>
        </is>
      </c>
    </row>
    <row r="374">
      <c r="A374" s="3" t="inlineStr">
        <is>
          <t>I2A</t>
        </is>
      </c>
      <c r="B374" s="2" t="inlineStr">
        <is>
          <t>MIDEA I2A robotporszívó, 28 W, 2 in 1: porszívóz és felmos, HEPA szűrővel</t>
        </is>
      </c>
      <c r="C374" s="1" t="n">
        <v>55190.0</v>
      </c>
      <c r="D374" s="7" t="n">
        <f>HYPERLINK("https://www.somogyi.hu/product/midea-i2a-robotporszivo-28-w-2-in-1-porszivoz-es-felmos-hepa-szurovel-i2a-18942","https://www.somogyi.hu/product/midea-i2a-robotporszivo-28-w-2-in-1-porszivoz-es-felmos-hepa-szurovel-i2a-18942")</f>
        <v>0.0</v>
      </c>
      <c r="E374" s="7" t="n">
        <f>HYPERLINK("https://www.somogyi.hu/data/img/product_main_images/small/18942.jpg","https://www.somogyi.hu/data/img/product_main_images/small/18942.jpg")</f>
        <v>0.0</v>
      </c>
      <c r="F374" s="2" t="inlineStr">
        <is>
          <t>6956079729714</t>
        </is>
      </c>
      <c r="G374" s="4" t="inlineStr">
        <is>
          <t>Szeretné, hogy otthona mindig tiszta legyen, miközben Ön mással foglalkozik? A MIDEA I2A robotporszívó a modern háztartások nélkülözhetetlen eszköze, amely nemcsak porszívóz, hanem fel is mos, így duplán megkönnyíti a mindennapi takarítást. 
Ez az innovatív 2 az 1-ben készülék 28 W motorteljesítményével és két forgókefével gondoskodik arról, hogy a padlók mindig ragyogóan tiszták legyenek. A MIDEA I2A robotporszívó Li-ion akkumulátorral (14,4 V, 2000 mAh) rendelkezik, amely hosszú üzemidőt biztosít, és önállóan visszatér a töltőállomásra, amikor feltöltésre van szüksége, így sosem kell aggódnia amiatt, hogy lemerül a takarítás közepén. A távirányító segítségével könnyedén vezérelheti a készüléket, hogy az mindig az Ön igényeihez igazodjon.
A HEPA szűrővel felszerelt robotporszívó hatékonyan szűri ki a levegőben lévő apró szennyeződéseket, így nemcsak tisztít, hanem javítja az otthona levegőjének minőségét is. A leesésgátló szenzor megakadályozza, hogy a készülék lépcsőről vagy más magasabb helyről lezuhanjon, így biztonságosan dolgozik minden emeleten. A különféle takarítási módok – automatikus, perem-, célzott és cikk-cakk takarítás – biztosítják, hogy a robotporszívó mindig a leghatékonyabb módon tisztítsa meg otthonát. Lapos kivitelének köszönhetően könnyedén befér a bútorok alá is, ahol a hagyományos porszívók nehezen érik el a port és a szennyeződéseket. Mindössze 2,5 kg-os nettó tömegével a MIDEA I2A robotporszívó csendesen, ugyanakkor hatékonyan végzi el a takarítást anélkül, hogy Önnek bármilyen erőfeszítést kellene tennie.
Ne hagyja ki ezt a kényelmet és tisztaságot egyszerre kínáló megoldást! Rendelje meg most a MIDEA I2A robotporszívót, és élvezze a porszívózás és felmosás tökéletes kombinációját.</t>
        </is>
      </c>
    </row>
    <row r="375">
      <c r="A375" s="6" t="inlineStr">
        <is>
          <t xml:space="preserve">   Háztartási gép, eszköz / Vasaló</t>
        </is>
      </c>
      <c r="B375" s="6" t="inlineStr">
        <is>
          <t/>
        </is>
      </c>
      <c r="C375" s="6" t="inlineStr">
        <is>
          <t/>
        </is>
      </c>
      <c r="D375" s="6" t="inlineStr">
        <is>
          <t/>
        </is>
      </c>
      <c r="E375" s="6" t="inlineStr">
        <is>
          <t/>
        </is>
      </c>
      <c r="F375" s="6" t="inlineStr">
        <is>
          <t/>
        </is>
      </c>
      <c r="G375" s="6" t="inlineStr">
        <is>
          <t/>
        </is>
      </c>
    </row>
    <row r="376">
      <c r="A376" s="3" t="inlineStr">
        <is>
          <t>SIH1800TQC</t>
        </is>
      </c>
      <c r="B376" s="2" t="inlineStr">
        <is>
          <t>Gorenje SIH1800TQC gőzölős vasaló, 1800 W, UltraSteel talp, öntisztítás, 0,2 literes víztartály, türkiz-fehér</t>
        </is>
      </c>
      <c r="C376" s="1" t="n">
        <v>11090.0</v>
      </c>
      <c r="D376" s="7" t="n">
        <f>HYPERLINK("https://www.somogyi.hu/product/gorenje-sih1800tqc-gozolos-vasalo-1800-w-ultrasteel-talp-ontisztitas-0-2-literes-viztartaly-turkiz-feher-sih1800tqc-18292","https://www.somogyi.hu/product/gorenje-sih1800tqc-gozolos-vasalo-1800-w-ultrasteel-talp-ontisztitas-0-2-literes-viztartaly-turkiz-feher-sih1800tqc-18292")</f>
        <v>0.0</v>
      </c>
      <c r="E376" s="7" t="n">
        <f>HYPERLINK("https://www.somogyi.hu/data/img/product_main_images/small/18292.jpg","https://www.somogyi.hu/data/img/product_main_images/small/18292.jpg")</f>
        <v>0.0</v>
      </c>
      <c r="F376" s="2" t="inlineStr">
        <is>
          <t>3838782404757</t>
        </is>
      </c>
      <c r="G376" s="4" t="inlineStr">
        <is>
          <t>Lehet a vasalás könnyebbű és hatékony egy modern, erőteljes gőzölős vasalóval? A Gorenje SIH1800TQC gőzölős vasaló ideális választás mindazok számára, akik a mindennapi vasalást szeretnék egyszerűvé és gyorssá tenni. 
Az erőteljes, 1800 wattos teljesítménnyel rendelkező vasaló könnyedén megbirkózik még a legmakacsabb gyűrődésekkel is, így ruhái mindig tökéletesen simák és rendezettek lesznek. Az UltraSteel talp rendkívüli simaságot biztosít, ezáltal a vasalás könnyed és egyenletes lesz, bármilyen anyagot is kezel. A gumi fogantyú kényelmes és biztos fogást nyújt, még hosszabb vasalás során is, így Ön fáradtság nélkül dolgozhat. 
A vasaló öntisztító funkcióval rendelkezik, amely meghosszabbítja az eszköz élettartamát és biztosítja, hogy a gőzkimenetek tiszták maradjanak, így a teljesítmény mindig maximális. A csepegésmentes technológia pedig megakadályozza a vízfoltok kialakulását az anyagon, így soha nem kell aggódnia a nem kívánt foltok miatt. A folyamatos gőzkibocsátás 21 g/perc, ami ideális a mindennapi vasaláshoz, míg a hirtelen gőzlöket akár 80 g/perc is lehet, így könnyedén kisimíthatja a vastagabb anyagokat és a mélyebb gyűrődéseket is. A 0,2 literes víztartály elég nagy kapacitást biztosít ahhoz, hogy folyamatosan dolgozhasson anélkül, hogy gyakran újra kellene töltenie. 
A függőleges vasalási funkció lehetővé teszi a függönyök vagy felakasztott ruhák gyors felfrissítését anélkül, hogy le kellene venni azokat. A türkiz-fehér dizájn friss és modern megjelenést biztosít a vasalónak, így nemcsak funkcionális, hanem esztétikus kiegészítője is lesz otthonának. Az állítható hőfokszabályzás segítségével könnyedén kiválaszthatja a megfelelő hőmérsékletet minden anyaghoz, így mindig a legjobb eredményt érheti el anélkül, hogy károsítaná ruháit.
Fedezze fel a Gorenje SIH1800TQC gőzölős vasaló erejét, és tegyen egy lépést a hatékony, gyors és kényelmes vasalás felé! Ne hagyja ki ezt a lehetőséget, hogy ruhái mindig tökéletesen simák és rendezettek legyenek – vásárolja meg most, és élvezze a professzionális vasalás élményét otthonában!</t>
        </is>
      </c>
    </row>
    <row r="377">
      <c r="A377" s="3" t="inlineStr">
        <is>
          <t>HG V 22</t>
        </is>
      </c>
      <c r="B377" s="2" t="inlineStr">
        <is>
          <t>Home HG V 22 gőzölős vasaló, 2200 W, kerámia bevonatú talp, öntisztító funkció, gőzölés és permet funkció</t>
        </is>
      </c>
      <c r="C377" s="1" t="n">
        <v>7490.0</v>
      </c>
      <c r="D377" s="7" t="n">
        <f>HYPERLINK("https://www.somogyi.hu/product/home-hg-v-22-gozolos-vasalo-2200-w-keramia-bevonatu-talp-ontisztito-funkcio-gozoles-es-permet-funkcio-hg-v-22-17279","https://www.somogyi.hu/product/home-hg-v-22-gozolos-vasalo-2200-w-keramia-bevonatu-talp-ontisztito-funkcio-gozoles-es-permet-funkcio-hg-v-22-17279")</f>
        <v>0.0</v>
      </c>
      <c r="E377" s="7" t="n">
        <f>HYPERLINK("https://www.somogyi.hu/data/img/product_main_images/small/17279.jpg","https://www.somogyi.hu/data/img/product_main_images/small/17279.jpg")</f>
        <v>0.0</v>
      </c>
      <c r="F377" s="2" t="inlineStr">
        <is>
          <t>5999084953010</t>
        </is>
      </c>
      <c r="G377" s="4" t="inlineStr">
        <is>
          <t>Egy megbízható és könnyen kezelhető vasalót keres, amely gyorsan kisimítja a gyűrődéseket és megkönnyíti a ruhák ápolását? A Home HG V 22 kerámia talpas vasaló kiváló választás mindennapi használatra, amely erőteljes gőzölési képességeivel és kényelmes funkcióival segít tökéletes eredményeket elérni. 
Ez a vasaló 1850-2200 W teljesítménnyel rendelkezik, így gyorsan felmelegszik, és pillanatok alatt készen áll a használatra. A kerámia bevonatú talp sima felületet biztosít, amely egyenletes hőeloszlást nyújt, így könnyedén siklik a ruhákon, és minimalizálja a tapadást. Az öntisztító funkcióval felszerelt vasaló gondoskodik a készülék belső tisztaságáról, meghosszabbítva annak élettartamát. A 160 ml-es víztartály elegendő kapacitást biztosít, hogy hosszabb ideig használhassa megszakítás nélkül, míg a vízpermet funkció segít a nehezebb gyűrődések kezelésében is. A gőzölési funkciók, beleértve a függőleges gőzlöketet, lehetővé teszik a függőlegesen tartott ruhadarabok, függönyök és más anyagok gyűrődésmentesítését, így sokoldalúan alkalmazható. A fűtést jelző fény és a flexibilis tápkábel-csatlakozás további kényelmet nyújt a használat során.
Válassza a Home HG V 22 kerámia talpas vasalót, és élvezze a hatékony és gyors vasalást – a sima, gyűrődésmentes ruhákért minden nap!</t>
        </is>
      </c>
    </row>
    <row r="378">
      <c r="A378" s="3" t="inlineStr">
        <is>
          <t>SIH2200BLC</t>
        </is>
      </c>
      <c r="B378" s="2" t="inlineStr">
        <is>
          <t>Gorenje SIH2200BLC gőzölős vasaló, 2200 W, kerámia talp, 0,35 literes víztartály, automatikus kikapcsolás</t>
        </is>
      </c>
      <c r="C378" s="1" t="n">
        <v>15090.0</v>
      </c>
      <c r="D378" s="7" t="n">
        <f>HYPERLINK("https://www.somogyi.hu/product/gorenje-sih2200blc-gozolos-vasalo-2200-w-keramia-talp-0-35-literes-viztartaly-automatikus-kikapcsolas-sih2200blc-18030","https://www.somogyi.hu/product/gorenje-sih2200blc-gozolos-vasalo-2200-w-keramia-talp-0-35-literes-viztartaly-automatikus-kikapcsolas-sih2200blc-18030")</f>
        <v>0.0</v>
      </c>
      <c r="E378" s="7" t="n">
        <f>HYPERLINK("https://www.somogyi.hu/data/img/product_main_images/small/18030.jpg","https://www.somogyi.hu/data/img/product_main_images/small/18030.jpg")</f>
        <v>0.0</v>
      </c>
      <c r="F378" s="2" t="inlineStr">
        <is>
          <t>3838782404696</t>
        </is>
      </c>
      <c r="G378" s="4" t="inlineStr">
        <is>
          <t>Szeretné, ha a vasalás gyorsabb és kényelmesebb lenne, miközben ruhái tökéletesen simává válnak? A Gorenje SIH2200BLC gőzölős vasaló ideális választás, ha egy erős, könnyen kezelhető eszközt keres a mindennapi vasaláshoz. 
Az 2200 wattos teljesítmény gyors felmelegedést és kiemelkedő hatékonyságot biztosít, így a vasalás valóban élvezetes élménnyé válik. A készülék kerámia talpa könnyedén siklik minden anyagon, biztosítva az egyenletes hőeloszlást és megakadályozva a tapadást. A vízkőmentesítési funkciónak köszönhetően a vasaló belső rendszere tiszta marad, növelve ezzel a tartósságot és a teljesítményt. A 0,35 literes víztartály hosszabb vasalási időt tesz lehetővé, míg a csepegésmentes kialakítás biztosítja, hogy még alacsony hőmérsékleten is elkerülhető legyen a vízfoltok kialakulása.
A Gorenje SIH2200BLC vasaló folyamatos gőzkibocsátása 30 g/perc, amely lehetővé teszi a gyűrődések gyors és hatékony eltávolítását, míg a 95 g/perc hirtelen gőzlöket különösen makacs gyűrődések esetén nyújt megoldást. A függőleges és száraz vasalás funkciók révén könnyedén kezelheti a függönyöket és a vállfán lógó ruhákat is, míg a vízpermet funkció további segítséget nyújt a nehezebb anyagoknál. Az automatikus kikapcsolás biztonsági funkcióval felszerelt vasaló megóvja otthonát és ruháit a túlmelegedéstől, garantálva a biztonságot.
Válassza a Gorenje SIH2200BLC gőzölős vasalót a könnyed, hatékony és professzionális vasalási élményért! Élvezze az egyszerű kezelést, a kiváló gőzölési teljesítményt és a tartós minőséget minden egyes használat során!</t>
        </is>
      </c>
    </row>
    <row r="379">
      <c r="A379" s="6" t="inlineStr">
        <is>
          <t xml:space="preserve">   Háztartási gép, eszköz / Kenyérsütő</t>
        </is>
      </c>
      <c r="B379" s="6" t="inlineStr">
        <is>
          <t/>
        </is>
      </c>
      <c r="C379" s="6" t="inlineStr">
        <is>
          <t/>
        </is>
      </c>
      <c r="D379" s="6" t="inlineStr">
        <is>
          <t/>
        </is>
      </c>
      <c r="E379" s="6" t="inlineStr">
        <is>
          <t/>
        </is>
      </c>
      <c r="F379" s="6" t="inlineStr">
        <is>
          <t/>
        </is>
      </c>
      <c r="G379" s="6" t="inlineStr">
        <is>
          <t/>
        </is>
      </c>
    </row>
    <row r="380">
      <c r="A380" s="3" t="inlineStr">
        <is>
          <t>MC2SBK</t>
        </is>
      </c>
      <c r="B380" s="2" t="inlineStr">
        <is>
          <t>Gorenje MC2SBK multicooker, 476 W, 2 l kapacitás, elektronikus vezérlés</t>
        </is>
      </c>
      <c r="C380" s="1" t="n">
        <v>25290.0</v>
      </c>
      <c r="D380" s="7" t="n">
        <f>HYPERLINK("https://www.somogyi.hu/product/gorenje-mc2sbk-multicooker-476-w-2-l-kapacitas-elektronikus-vezerles-mc2sbk-19044","https://www.somogyi.hu/product/gorenje-mc2sbk-multicooker-476-w-2-l-kapacitas-elektronikus-vezerles-mc2sbk-19044")</f>
        <v>0.0</v>
      </c>
      <c r="E380" s="7" t="n">
        <f>HYPERLINK("https://www.somogyi.hu/data/img/product_main_images/small/19044.jpg","https://www.somogyi.hu/data/img/product_main_images/small/19044.jpg")</f>
        <v>0.0</v>
      </c>
      <c r="F380" s="2" t="inlineStr">
        <is>
          <t>3838782866852</t>
        </is>
      </c>
      <c r="G380" s="4" t="inlineStr">
        <is>
          <t>Szeretné, ha a konyhában minden étel egyszerűen és gyorsan elkészülne? A Gorenje MC2SBK multicooker modern, praktikus megoldás azok számára, akik szeretnének időt spórolni a főzés során, miközben finom és változatos ételeket készítenek. 
Ez a többfunkciós készülék egy igazi mindenes a konyhában, amely egyszerűvé és élvezetessé teszi a főzést, köszönhetően az elektronikus vezérlésnek, a különböző programoknak és az időzítő funkciónak. Tökéletes választás, ha gyors, finom ételekre vágyik, és minimalizálni szeretné az előkészületekkel és az ételkészítéssel töltött időt.
Kompakt méret és hatékony teljesítmény
A Gorenje MC2SBK multicooker 476 W-os maximális teljesítményével ideális kisebb és nagyobb konyhákba egyaránt. A 2 literes kapacitású keverőtál elegendő helyet biztosít az egy vagy akár több személyre készülő fogásokhoz is, anélkül, hogy túl sok helyet foglalna el a konyhapulton. A készülék könnyű, mindössze 2 kg, így könnyen mozgatható és tárolható. A 23x22,3x23,9 cm-es méret pedig különösen alkalmassá teszi kisebb lakásokba, ahol fontos a helytakarékosság.
Egyszerű és gyors főzés 5 programmal
A multicooker különlegessége a beépített 5 főzési program, amelyekkel pillanatok alatt elkészítheti kedvenc ételeit. Akár rizst szeretne főzni, leveseket vagy egyéb egytálételeket készíteni, a multicooker minden kihívásnak megfelel. Az elektronikus vezérlés révén egyszerűen kiválaszthatja a megfelelő programot, így még a kezdő szakácsok is könnyedén készíthetnek tökéletes fogásokat.
Melegentartó funkció és 24 órás időzítő
Az időzítő és a melegentartó funkció különösen hasznosak a zsúfolt hétköznapokon. Az 24 órás időzítővel pontosan megtervezheti, hogy mikor kezdje el a főzést, így mindig friss és meleg étellel várhatja haza családját. A melegentartó funkció biztosítja, hogy az elkészült étel ne hűljön ki, akár órákon át is melegen tartható anélkül, hogy veszítene ízéből vagy frissességéből.
Praktikus tartozékok a könnyű használathoz
A multicookerhez több hasznos kiegészítő is tartozik, amelyek megkönnyítik a főzést. A csomag tartalmaz egy kanalat, egy merítő kanalat, egy mérőpoharat, valamint egy belső edényt, amelyeket kifejezetten a multicookerhez terveztek, így tökéletesen illeszkednek a készülékhez, és könnyű tisztítást biztosítanak.
Stílusos és tartós kialakítás
A készülék fém és műanyag burkolata nemcsak stílusos megjelenést kölcsönöz a multicookernek, de biztosítja a tartósságot is, így hosszú távon is megbízható társ lesz a konyhában. Az elegáns kialakítás bármely konyhában jól mutat, és kiválóan illeszkedik a modern konyhai eszközök közé.
Ne vesztegesse az idejét órákon át tartó főzéssel! A Gorenje MC2SBK multicooker segítségével pillanatok alatt elkészítheti kedvenc ételeit, ráadásul kompakt méretének köszönhetően bármely konyhában elfér. Szerezze be most, és élvezze a gyors, egyszerű és ízletes főzést minden nap!</t>
        </is>
      </c>
    </row>
    <row r="381">
      <c r="A381" s="3" t="inlineStr">
        <is>
          <t>HG KS 900</t>
        </is>
      </c>
      <c r="B381" s="2" t="inlineStr">
        <is>
          <t>Home HG KS 900 kenyérsütő, 710 W, 15 program, 500 g, 750 g, 900 g kenyérsütés, rozsdamentes felület</t>
        </is>
      </c>
      <c r="C381" s="1" t="n">
        <v>39290.0</v>
      </c>
      <c r="D381" s="7" t="n">
        <f>HYPERLINK("https://www.somogyi.hu/product/home-hg-ks-900-kenyersuto-710-w-15-program-500-g-750-g-900-g-kenyersutes-rozsdamentes-felulet-hg-ks-900-17949","https://www.somogyi.hu/product/home-hg-ks-900-kenyersuto-710-w-15-program-500-g-750-g-900-g-kenyersutes-rozsdamentes-felulet-hg-ks-900-17949")</f>
        <v>0.0</v>
      </c>
      <c r="E381" s="7" t="n">
        <f>HYPERLINK("https://www.somogyi.hu/data/img/product_main_images/small/17949.jpg","https://www.somogyi.hu/data/img/product_main_images/small/17949.jpg")</f>
        <v>0.0</v>
      </c>
      <c r="F381" s="2" t="inlineStr">
        <is>
          <t>5999084959715</t>
        </is>
      </c>
      <c r="G381" s="4" t="inlineStr">
        <is>
          <t>Ha szeretne otthon friss és ízletes kenyeret sütni, akkor kenyérsütőnk 15 programmal az Ön számára ideális választás lehet! A kenyérsütővel egyszerűen elkészíthet különféle kenyereket, akár gluténmentes, vagy teljes kiőrlésű változatban, illetve akár joghurtot is készíthet vele.
A kenyérsütő edénye 900 g kapacitású, így akár nagyobb családoknak is elegendő mennyiségű kenyeret készíthet egyszerre. Emellett a kenyérméretválasztási lehetőségnek köszönhetően a kívánt méretű kenyeret is elkészítheti könnyedén, legyen az 500 g, 750 g vagy 900 g.
A kenyérsütő 710 W teljesítménnyel rendelkezik, így gyorsan és hatékonyan süt. Ha pedig mégsem sikerül azonnal elfogyasztani a frissen sült kenyeret, akkor sem kell aggódnia, hiszen a 60 perces melegen tartó funkcióval a kenyeret melegen és frissen tarthatja. A kenyérsütő memóriája lehetővé teszi, hogy 15 perces áramszünet esetén is folytathassa a sütést ott, ahol abbahagyta. Emellett az időzítővel beállíthatja, hogy mikor kezdje el a sütést, így mindig friss és meleg kenyeret fogyaszthat.
A kenyérsütő ujjlenyomatmentes rozsdamentes felülettel rendelkezik, így mindig tiszta és esztétikus marad.
A tartozék mérőpohár és mérőkanál segítségével pontosan mérheti a hozzávalókat. Válassza kenyérsütőnket, és élvezze az otthoni, friss és finom kenyér ízét!</t>
        </is>
      </c>
    </row>
    <row r="382">
      <c r="A382" s="3" t="inlineStr">
        <is>
          <t>BM910WII</t>
        </is>
      </c>
      <c r="B382" s="2" t="inlineStr">
        <is>
          <t>Gorenje BM910WII kenyérsütő, 550 W, max. 900 g-os kenyér, 15 program, 1 dagasztókar, LCD kijelző</t>
        </is>
      </c>
      <c r="C382" s="1" t="n">
        <v>33590.0</v>
      </c>
      <c r="D382" s="7" t="n">
        <f>HYPERLINK("https://www.somogyi.hu/product/gorenje-bm910wii-kenyersuto-550-w-max-900-g-os-kenyer-15-program-1-dagasztokar-lcd-kijelzo-bm910wii-16738","https://www.somogyi.hu/product/gorenje-bm910wii-kenyersuto-550-w-max-900-g-os-kenyer-15-program-1-dagasztokar-lcd-kijelzo-bm910wii-16738")</f>
        <v>0.0</v>
      </c>
      <c r="E382" s="7" t="n">
        <f>HYPERLINK("https://www.somogyi.hu/data/img/product_main_images/small/16738.jpg","https://www.somogyi.hu/data/img/product_main_images/small/16738.jpg")</f>
        <v>0.0</v>
      </c>
      <c r="F382" s="2" t="inlineStr">
        <is>
          <t>3838782069758</t>
        </is>
      </c>
      <c r="G382" s="4" t="inlineStr">
        <is>
          <t>Hogyan élvezheti a friss, házi kenyér illatát otthon, egyszerűen és gyorsan? A Gorenje BM910WII kenyérsütő tökéletes megoldás mindazok számára, akik szeretnék otthon elkészíteni a legfinomabb házi kenyeret. 
550 wattos teljesítményével és a maximum 900 grammos kapacitásával akár nagyobb családok számára is ideális választás, hiszen egyetlen sütéssel is elegendő kenyeret készíthet az egész napra. A kenyér mérete 750 és 900 gramm között variálható, így mindig pontosan annyi kenyeret készíthet, amennyire szüksége van. A kenyérsütő 15 különböző programmal rendelkezik, így nemcsak kenyeret süthet, hanem lekvárt, joghurtot is készíthet, vagy akár gluténmentes kenyérre is programozhatja a készüléket. 
A kék háttérvilágítású LCD kijelző könnyedén kezelhetővé teszi a gépet, és minden funkciót áttekinthetően jelenít meg. A készülék beépített késleltetési lehetőséggel rendelkezik, így beállíthatja, hogy a kenyér pontosan akkor készüljön el, amikor Ön szeretné – például frissen sült kenyér illatára ébredhet reggelente. A melegen tartó funkció biztosítja, hogy a kenyér sokáig melegen maradjon, még ha később fogyasztja is el.
A Gorenje BM910WII kenyérsütő egy dagasztókarral van felszerelve, ami hatékonyan keveri a tésztát, hogy a kenyér állaga mindig tökéletes legyen. A három különböző pirítási szint lehetővé teszi, hogy a kenyér héját ízlés szerint szabályozza, legyen az enyhén aranybarna vagy ropogós. A kenyértartály könnyen kivehető, így a tisztítás is gyors és egyszerű. A kenyérsütő automatikus kikapcsolás funkcióval is rendelkezik, amely biztosítja, hogy a készülék biztonságosan működjön akkor is, ha nem figyel rá folyamatosan.
A 21,8 x 29,7 x 29,2 cm méretű kompakt készülék könnyen elhelyezhető bármilyen konyhában, anélkül, hogy sok helyet foglalna. A kenyérsütő praktikus és könnyen kezelhető kialakítása révén bárki egyszerűen használhatja, akár kezdő, akár tapasztalt otthoni pékmester.
Fedezze fel az otthoni kenyérsütés élményét a Gorenje BM910WII kenyérsütővel, és élvezze a friss, ropogós kenyér illatát minden nap!</t>
        </is>
      </c>
    </row>
    <row r="383">
      <c r="A383" s="6" t="inlineStr">
        <is>
          <t xml:space="preserve">   Háztartási gép, eszköz / Szeletelőgép</t>
        </is>
      </c>
      <c r="B383" s="6" t="inlineStr">
        <is>
          <t/>
        </is>
      </c>
      <c r="C383" s="6" t="inlineStr">
        <is>
          <t/>
        </is>
      </c>
      <c r="D383" s="6" t="inlineStr">
        <is>
          <t/>
        </is>
      </c>
      <c r="E383" s="6" t="inlineStr">
        <is>
          <t/>
        </is>
      </c>
      <c r="F383" s="6" t="inlineStr">
        <is>
          <t/>
        </is>
      </c>
      <c r="G383" s="6" t="inlineStr">
        <is>
          <t/>
        </is>
      </c>
    </row>
    <row r="384">
      <c r="A384" s="3" t="inlineStr">
        <is>
          <t>HG SZE 01</t>
        </is>
      </c>
      <c r="B384" s="2" t="inlineStr">
        <is>
          <t>Home HG SZE 01 szeletelőgép, teljesítmény 150 W, szeletelési vastagság 0-1,5 cm, rozsdamentes forgókés ∅17 cm, összecsukható</t>
        </is>
      </c>
      <c r="C384" s="1" t="n">
        <v>18590.0</v>
      </c>
      <c r="D384" s="7" t="n">
        <f>HYPERLINK("https://www.somogyi.hu/product/home-hg-sze-01-szeletelogep-teljesitmeny-150-w-szeletelesi-vastagsag-0-1-5-cm-rozsdamentes-forgokes-17-cm-osszecsukhato-hg-sze-01-17062","https://www.somogyi.hu/product/home-hg-sze-01-szeletelogep-teljesitmeny-150-w-szeletelesi-vastagsag-0-1-5-cm-rozsdamentes-forgokes-17-cm-osszecsukhato-hg-sze-01-17062")</f>
        <v>0.0</v>
      </c>
      <c r="E384" s="7" t="n">
        <f>HYPERLINK("https://www.somogyi.hu/data/img/product_main_images/small/17062.jpg","https://www.somogyi.hu/data/img/product_main_images/small/17062.jpg")</f>
        <v>0.0</v>
      </c>
      <c r="F384" s="2" t="inlineStr">
        <is>
          <t>5999084950941</t>
        </is>
      </c>
      <c r="G384" s="4" t="inlineStr">
        <is>
          <t>Gondolt már arra, hogy mennyire egyszerű és gyors lenne a reggeli vagy vacsora előkészítése egy professzionális szeletelőgép segítségével? A Home HG SZE 01 az otthoni konyhák kényelmes és hatékony segítője, amely prémium kivitelezésével és kiemelkedő tulajdonságaival válik nélkülözhetetlenné. 
Az erős 150 W-os teljesítmény gondoskodik arról, hogy a gép könnyedén megbirkózzon a különböző alapanyagokkal. A fokozatmentesen állítható szeletelési vastagság (0-1,5 cm) révén pedig mindenki a saját ízlése szerint szeletelheti a hozzávalókat. A 17 cm átmérőjű rozsdamentes forgókés hosszan tartó élességet garantál, míg a csúszásmentes talpak stabil használatot biztosítanak. A készülék biztonsági kapcsolóval ellátott, megelőzve ezzel a baleseteket. Az összecsukható kivitel, a süllyesztett vezetéktároló, és a kis méret - kinyitva: 26 x 20 x 33 cm, összecsukva: 9,5 x 20 x 33 cm - mind hozzájárulnak a könnyű tárolhatósághoz. A túlmelegedés elleni védelem pedig biztosítja, hogy a készülék hosszú ideig megbízható társa maradjon a konyhában. 
Változtassa meg a főzés élményét és győződjön meg a Home HG SZE 01 szeletelőgép kiválóságáról!</t>
        </is>
      </c>
    </row>
    <row r="385">
      <c r="A385" s="3" t="inlineStr">
        <is>
          <t>R506E</t>
        </is>
      </c>
      <c r="B385" s="2" t="inlineStr">
        <is>
          <t>Gorenje R506E szeletelőgép, 150 W, 19 cm pengeátmérő, rozsdamentes acél, max. 15 mm-es szeletvastagság</t>
        </is>
      </c>
      <c r="C385" s="1" t="n">
        <v>34390.0</v>
      </c>
      <c r="D385" s="7" t="n">
        <f>HYPERLINK("https://www.somogyi.hu/product/gorenje-r506e-szeletelogep-150-w-19-cm-pengeatmero-rozsdamentes-acel-max-15-mm-es-szeletvastagsag-r506e-15208","https://www.somogyi.hu/product/gorenje-r506e-szeletelogep-150-w-19-cm-pengeatmero-rozsdamentes-acel-max-15-mm-es-szeletvastagsag-r506e-15208")</f>
        <v>0.0</v>
      </c>
      <c r="E385" s="7" t="n">
        <f>HYPERLINK("https://www.somogyi.hu/data/img/product_main_images/small/15208.jpg","https://www.somogyi.hu/data/img/product_main_images/small/15208.jpg")</f>
        <v>0.0</v>
      </c>
      <c r="F385" s="2" t="inlineStr">
        <is>
          <t>3838942786853</t>
        </is>
      </c>
      <c r="G385" s="4" t="inlineStr">
        <is>
          <t>Szeretné a konyháját egy olyan megbízható, nagy teljesítményű szeletelőgéppel bővíteni, amely pontos és egyenletes vágásokat biztosít? A Gorenje R506E szeletelőgép 150 wattos motorral és rozsdamentes acél pengével készült, hogy könnyedén elbánjon különböző alapanyagokkal, legyen szó húsról, sajtról, kenyérről vagy zöldségekről. 
A készülék 19 cm átmérőjű, erős pengéje hatékonyan végzi a szeletelést, így a legváltozatosabb ételeket is gyorsan előkészítheti. A szeletelőgép legnagyobb szeletvastagsága 15 mm, ami ideális választássá teszi különböző vastagságú szeletekhez, a papírvékonytól egészen a vastagabb szeletekig. A gumírozott lábak gondoskodnak a stabilitásról, megakadályozva a készülék elmozdulását használat közben. A rozsdamentes acél kialakítás nemcsak tartós, hanem könnyen tisztítható is, így hosszú távon is higiénikus marad. A 82 dB-es zajszint mellett csendes működést biztosít, ami különösen fontos a mindennapi használat során. A praktikus, 1 méteres vezetékhossz elegendő rugalmasságot nyújt a konyhában történő elhelyezéshez. A készülék mérete (38,2 x 27,2 x 26,2 cm) és súlya (5,2 kg) biztosítja a stabil működést, miközben könnyen tárolható, ha nincs rá szükség.
Válassza a Gorenje R506E szeletelőgépet, ha precíz szeletekre és gyors előkészítésre vágyik! Ezzel a professzionális termékkel a konyhai munka könnyebb és élvezetesebb lesz, így Önnek több ideje marad az ízek élvezetére!</t>
        </is>
      </c>
    </row>
    <row r="386">
      <c r="A386" s="6" t="inlineStr">
        <is>
          <t xml:space="preserve">   Háztartási gép, eszköz / Befőző automata</t>
        </is>
      </c>
      <c r="B386" s="6" t="inlineStr">
        <is>
          <t/>
        </is>
      </c>
      <c r="C386" s="6" t="inlineStr">
        <is>
          <t/>
        </is>
      </c>
      <c r="D386" s="6" t="inlineStr">
        <is>
          <t/>
        </is>
      </c>
      <c r="E386" s="6" t="inlineStr">
        <is>
          <t/>
        </is>
      </c>
      <c r="F386" s="6" t="inlineStr">
        <is>
          <t/>
        </is>
      </c>
      <c r="G386" s="6" t="inlineStr">
        <is>
          <t/>
        </is>
      </c>
    </row>
    <row r="387">
      <c r="A387" s="3" t="inlineStr">
        <is>
          <t>HG BA 27</t>
        </is>
      </c>
      <c r="B387" s="2" t="inlineStr">
        <is>
          <t>Home HG BA 27 befőző automata, teljesítmény 1800 W, 27 literes tartály, sterilizálás funkció, fehér-fekete</t>
        </is>
      </c>
      <c r="C387" s="1" t="n">
        <v>47190.0</v>
      </c>
      <c r="D387" s="7" t="n">
        <f>HYPERLINK("https://www.somogyi.hu/product/home-hg-ba-27-befozo-automata-teljesitmeny-1800-w-27-literes-tartaly-sterilizalas-funkcio-feher-fekete-hg-ba-27-16492","https://www.somogyi.hu/product/home-hg-ba-27-befozo-automata-teljesitmeny-1800-w-27-literes-tartaly-sterilizalas-funkcio-feher-fekete-hg-ba-27-16492")</f>
        <v>0.0</v>
      </c>
      <c r="E387" s="7" t="n">
        <f>HYPERLINK("https://www.somogyi.hu/data/img/product_main_images/small/16492.jpg","https://www.somogyi.hu/data/img/product_main_images/small/16492.jpg")</f>
        <v>0.0</v>
      </c>
      <c r="F387" s="2" t="inlineStr">
        <is>
          <t>5999084945244</t>
        </is>
      </c>
      <c r="G387" s="4" t="inlineStr">
        <is>
          <t>Szeretne egy sokoldalú konyhai eszközt, amely nem csak befőttek készítéséhez, hanem különféle italok melegen tartására is ideális? Fedezze fel a Home HG BA 27 befőző automatát!
Ezzel a 1800 W teljesítményű eszközzel nem csak a befőttkészítés lesz egyszerűbb, hanem sokféle ital elkészítése is. A 27 literes zománcozott fém tartályában egyszerre akár 14 db 1 literes befőttes üveget sterilizálhat, garantálva a tartós és higiénikus tárolást. Ugyanebben a tartályban akár 27 liter folyadékot – legyen az tea vagy forralt bor – melegíthet, felforralhat és melegen is tarthat. A cseppmentes leeresztő csapnak köszönhetően egyszerű és tiszta az adagolás. A mechanikus termosztáttal pontosan szabályozhatja a hőmérsékletet, míg a kikapcsolható termosztáthangjelzés és az időzíthető kikapcsolás (max. 120 perc) további kényelmi funkciókat biztosítanak. A hőszigetelt fogantyúknak köszönhetően biztonságosan kezelheti a készüléket, míg a műanyag üvegtartó ráccsal a befőttesüvegek stabil helyzetben maradnak. Ráadásul a készülék alján található vezetéktárolóval egyszerűen tárolhatja, így helyet takarít meg a konyhában.
Bővítse konyhai eszközei palettáját a Home HG BA 27 befőző automatával, és tapasztalja meg a sokoldalúság és az egyszerű használat örömét minden nap!</t>
        </is>
      </c>
    </row>
    <row r="388">
      <c r="A388" s="6" t="inlineStr">
        <is>
          <t xml:space="preserve">   Háztartási gép, eszköz / Elektromos kukta, forrólevegős sütő</t>
        </is>
      </c>
      <c r="B388" s="6" t="inlineStr">
        <is>
          <t/>
        </is>
      </c>
      <c r="C388" s="6" t="inlineStr">
        <is>
          <t/>
        </is>
      </c>
      <c r="D388" s="6" t="inlineStr">
        <is>
          <t/>
        </is>
      </c>
      <c r="E388" s="6" t="inlineStr">
        <is>
          <t/>
        </is>
      </c>
      <c r="F388" s="6" t="inlineStr">
        <is>
          <t/>
        </is>
      </c>
      <c r="G388" s="6" t="inlineStr">
        <is>
          <t/>
        </is>
      </c>
    </row>
    <row r="389">
      <c r="A389" s="3" t="inlineStr">
        <is>
          <t>MF-TN35D</t>
        </is>
      </c>
      <c r="B389" s="2" t="inlineStr">
        <is>
          <t>Midea MF-TN35D air fryer, forrólevegős fritőz, 3,5 literes sütőkosár, állítható hőmérséklet 200 °C-ig, 1500 W, fekete</t>
        </is>
      </c>
      <c r="C389" s="1" t="n">
        <v>27890.0</v>
      </c>
      <c r="D389" s="7" t="n">
        <f>HYPERLINK("https://www.somogyi.hu/product/midea-mf-tn35d-air-fryer-forrolevegos-fritoz-3-5-literes-sutokosar-allithato-homerseklet-200-c-ig-1500-w-fekete-mf-tn35d-17985","https://www.somogyi.hu/product/midea-mf-tn35d-air-fryer-forrolevegos-fritoz-3-5-literes-sutokosar-allithato-homerseklet-200-c-ig-1500-w-fekete-mf-tn35d-17985")</f>
        <v>0.0</v>
      </c>
      <c r="E389" s="7" t="n">
        <f>HYPERLINK("https://www.somogyi.hu/data/img/product_main_images/small/17985.jpg","https://www.somogyi.hu/data/img/product_main_images/small/17985.jpg")</f>
        <v>0.0</v>
      </c>
      <c r="F389" s="2" t="inlineStr">
        <is>
          <t>6939962794709</t>
        </is>
      </c>
      <c r="G389" s="4" t="inlineStr">
        <is>
          <t>Szeretne ízletes, ropogós ételeket készíteni kevesebb olajjal, miközben megőrzi azok frissességét és tápértékét? A Midea MF-TN35D forrólevegős fritőz kiváló választás, ha gyorsan és egészségesen szeretne főzni! 
A készülék 3,5 literes sütőkosarával ideális akár kisebb családok számára is, így egyszerre nagyobb adagokat készíthet anélkül, hogy kompromisszumot kellene kötnie az ízek terén. Ez az air fryer 1500 wattos teljesítménnyel rendelkezik, amely lehetővé teszi a gyors és hatékony sütést. Az állítható hőmérséklet szabályozásával akár 200 °C-ig beállíthatja a kívánt hőfokot, ami tökéletesen alkalmas különböző ételek elkészítésére – legyen szó sült krumpliról, húsokról, zöldségekről vagy akár desszertekről. Az egyszerűen kezelhető időzítő funkció akár 60 percig programozható, így a készülék automatikusan kikapcsol a beállított idő lejárta után, ami biztonságos és kényelmes használatot biztosít. A Midea MF-TN35D modern, fekete kialakítása elegánsan illeszkedik bármely konyhába, míg a kompakt mérete és egyszerűen kezelhető funkciói könnyű használatot és tárolást tesznek lehetővé. A sütőkosár kivehető és könnyen tisztítható, így a karbantartás gyerekjáték, és mindig készen áll a következő sütésre.
Válassza a Midea MF-TN35D forrólevegős fritőzt, és élvezze az egészséges, olajmentes sütés nyújtotta előnyöket! Készítsen változatos, ízletes fogásokat könnyedén, gyorsan és biztonságosan – fedezze fel a korszerű konyhai sütés új élményét ezzel a kiváló készülékkel!</t>
        </is>
      </c>
    </row>
    <row r="390">
      <c r="A390" s="3" t="inlineStr">
        <is>
          <t>HG LS 1000</t>
        </is>
      </c>
      <c r="B390" s="2" t="inlineStr">
        <is>
          <t>Home HG LS 1000 forró levegős sütőfedél, teljesítmény 1000 W, 45 °C – 220 °C-ig állítható hőmérséklet, max. ∅24 cm edényméret</t>
        </is>
      </c>
      <c r="C390" s="1" t="n">
        <v>15190.0</v>
      </c>
      <c r="D390" s="7" t="n">
        <f>HYPERLINK("https://www.somogyi.hu/product/home-hg-ls-1000-forro-levegos-sutofedel-teljesitmeny-1000-w-45-c-220-c-ig-allithato-homerseklet-max-24-cm-edenymeret-hg-ls-1000-17065","https://www.somogyi.hu/product/home-hg-ls-1000-forro-levegos-sutofedel-teljesitmeny-1000-w-45-c-220-c-ig-allithato-homerseklet-max-24-cm-edenymeret-hg-ls-1000-17065")</f>
        <v>0.0</v>
      </c>
      <c r="E390" s="7" t="n">
        <f>HYPERLINK("https://www.somogyi.hu/data/img/product_main_images/small/17065.jpg","https://www.somogyi.hu/data/img/product_main_images/small/17065.jpg")</f>
        <v>0.0</v>
      </c>
      <c r="F390" s="2" t="inlineStr">
        <is>
          <t>5999084950972</t>
        </is>
      </c>
      <c r="G390" s="4" t="inlineStr">
        <is>
          <t>Ön is szeretne gyorsan és könnyedén egészséges, ropogós ételeket készíteni? Fedezze fel a Home HG LS 1000 forró levegős sütőfedél varázsát, amely a halogén fűtés és légkeverés kombinációjával csodás eredményeket ér el. 
Az üvegfedélnek köszönhetően bármikor ellenőrizheti a sütési állapotot anélkül, hogy kinyitná a sütőt, így a látványos működés is élvezetet nyújt. A hőmérséklet 45 °C és 220 °C között állítható, hogy mindig a tökéletes hőt biztosítsa az ételeihez. Az időtartam 1 perctől egészen 24 óráig beállítható, így a lassú főzés sem okoz problémát. Az egyszerű és biztonságos kezeléssel a sütés-főzés sosem volt még ilyen könnyű.
Az üvegfedél könnyen ellenőrizhetővé teszi a sütési állapotot, így mindig pontosan láthatja, hogyan készülnek az ételek. A beépített halogén fűtés és légkeverés garantálja az egyenletes és gyors sütést, ami a ropogós és ízletes fogások titka. A készülék hőmérséklete széles tartományban, 45 °C-tól egészen 220 °C-ig állítható, így bármilyen étel elkészítésére alkalmas. Az időtartam beállítása 1 perctől akár 24 óráig is lehetséges, ami tökéletes megoldást kínál a lassú főzés kedvelőinek. Az egyszerű és biztonságos kezelés révén még a kezdő szakácsok is bátran használhatják.
Ez a sütőfedél kizárólag 22 cm és 24 cm átmérőjű rozsdamentes acél edényen használható. A könnyű tisztításnak köszönhetően pedig a takarítás sem lesz többé nyűg.
 Ne várjon tovább, tegye kosarába most a Home HG LS 1000 forró levegős sütőfedelet, és élvezze a gyors, egészséges és ínycsiklandó ételek varázsát a saját konyhájában!</t>
        </is>
      </c>
    </row>
    <row r="391">
      <c r="A391" s="3" t="inlineStr">
        <is>
          <t>HGAF8</t>
        </is>
      </c>
      <c r="B391" s="2" t="inlineStr">
        <is>
          <t>Home HGAF8 digitális air fryer, forrólevegős fritőz, 8 liter kapacitás, 2000 W, hőmérsékleti tartomány 80 – 200 °C</t>
        </is>
      </c>
      <c r="C391" s="1" t="n">
        <v>35690.0</v>
      </c>
      <c r="D391" s="7" t="n">
        <f>HYPERLINK("https://www.somogyi.hu/product/home-hgaf8-digitalis-air-fryer-forrolevegos-fritoz-8-liter-kapacitas-2000-w-homersekleti-tartomany-80-200-c-hgaf8-18905","https://www.somogyi.hu/product/home-hgaf8-digitalis-air-fryer-forrolevegos-fritoz-8-liter-kapacitas-2000-w-homersekleti-tartomany-80-200-c-hgaf8-18905")</f>
        <v>0.0</v>
      </c>
      <c r="E391" s="7" t="n">
        <f>HYPERLINK("https://www.somogyi.hu/data/img/product_main_images/small/18905.jpg","https://www.somogyi.hu/data/img/product_main_images/small/18905.jpg")</f>
        <v>0.0</v>
      </c>
      <c r="F391" s="2" t="inlineStr">
        <is>
          <t>5999084969004</t>
        </is>
      </c>
      <c r="G391" s="4" t="inlineStr">
        <is>
          <t>Szeretné, ha otthonában egészséges, ízletes ételek készülnének minimális olajhasználattal? A Home HGAF8 digitális forrólevegős fritőz minden igényt kielégít, amire a modern konyhában szüksége lehet. 
A 8 literes kapacitásának és a 2000 W teljesítményének köszönhetően nagyobb adagokat készíthet egyetlen sütés során, legyen szó ropogós sült krumpliról, ízletes csirkecombról vagy zöldségekről.
A DUAL HEATING technológia biztosítja a tökéletes, egyenletes sütést: 500 W-os alsó és 1500 W-os felső fűtőelemek gondoskodnak arról, hogy minden étel tökéletesen átsüljön. A fém borítású sütőtér növeli a készülék tartósságát, míg a LED érintőpaneles digitális vezérlés lehetővé teszi, hogy gyorsan és egyszerűen válasszon a 8 előre beállított sütési program közül: hasábburgonya, csirkecomb, steak, hal, sütemény, pizza, zöldség vagy egyéni beállítás. 
Mindegyik program hőmérséklete és sütési ideje módosítható és elmenthető, így Ön pontosan az ízlésének megfelelően készítheti el az ételeket. A Home HGAF8 fritőz emellett kiolvasztás és újramelegítés funkcióval is rendelkezik, így akár maradék ételeket is gyorsan és hatékonyan felmelegíthet. Az előmelegítő funkció segít a gyors indulásban, és az ételátforgatásra figyelmeztető jelzés biztosítja, hogy minden oldal tökéletesen átsüljön. Működés közben a hőmérséklet és a hátralévő idő bármikor módosítható, így Ön mindig pontosan szabályozhatja a sütési folyamatot. A készülék könnyen kezelhető, és a levehető fogantyú révén kompakt módon tárolható. Mérete 32,5 x 32 x 41 cm, tömege 6,6 kg, így könnyedén helyet találhat neki a konyhapulton.
Tegye az egészséges ételkészítést egyszerűvé és élvezetessé a Home HGAF8 digitális air fryerrel!</t>
        </is>
      </c>
    </row>
    <row r="392">
      <c r="A392" s="3" t="inlineStr">
        <is>
          <t>MAD55005APKH</t>
        </is>
      </c>
      <c r="B392" s="2" t="inlineStr">
        <is>
          <t>MIDEA MAD55005APKH Air Fryer, forrólevegős fritőz, 4.6 l kosár, 5.7 l üst, 1500 W, 60 p időzítő, 200 °C hőmérséklet, lecsatolható sütőkosár</t>
        </is>
      </c>
      <c r="C392" s="1" t="n">
        <v>35390.0</v>
      </c>
      <c r="D392" s="7" t="n">
        <f>HYPERLINK("https://www.somogyi.hu/product/midea-mad55005apkh-air-fryer-forrolevegos-fritoz-4-6-l-kosar-5-7-l-ust-1500-w-60-p-idozito-200-c-homerseklet-lecsatolhato-sutokosar-mad55005apkh-18320","https://www.somogyi.hu/product/midea-mad55005apkh-air-fryer-forrolevegos-fritoz-4-6-l-kosar-5-7-l-ust-1500-w-60-p-idozito-200-c-homerseklet-lecsatolhato-sutokosar-mad55005apkh-18320")</f>
        <v>0.0</v>
      </c>
      <c r="E392" s="7" t="n">
        <f>HYPERLINK("https://www.somogyi.hu/data/img/product_main_images/small/18320.jpg","https://www.somogyi.hu/data/img/product_main_images/small/18320.jpg")</f>
        <v>0.0</v>
      </c>
      <c r="F392" s="2" t="inlineStr">
        <is>
          <t>6936718304120</t>
        </is>
      </c>
      <c r="G392" s="4" t="inlineStr">
        <is>
          <t>Egy egyszerű módot keres az egészségesebb étkezésre? A MIDEA MAD55005APKH Air Fryer a tökéletes választás azok számára, akik szeretnének kevesebb olajjal sütni, miközben megőrzik az ételek roppanós textúráját és gazdag ízét.
Ez a készülék egy 4,6 literes kosárral és egy 5,7 literes üsttel rendelkezik, így egyszerre nagyobb adagok elkészítésére is alkalmas. A 1500 wattos teljesítmény biztosítja a gyors és hatékony felmelegedést, míg a 60 perces időzítő és a 200 °C-ig állítható hőmérséklettel minden típusú ételt tökéletesre süt. A lecsatolható sütőkosárnak köszönhetően a tisztítás gyerekjáték.
Válassza a MIDEA MAD55005APKH Air Fryert, hogy egészségesebben élvezhesse kedvenc sült ételeit, mindezt fekete, elegáns kivitelben. Fedezze fel az egészséges sütés új dimenzióit!</t>
        </is>
      </c>
    </row>
    <row r="393">
      <c r="A393" s="3" t="inlineStr">
        <is>
          <t>HG AF 24</t>
        </is>
      </c>
      <c r="B393" s="2" t="inlineStr">
        <is>
          <t>Home HG AF 24 air fryer, forrólevegős fritőz, 2 X 3,8 literes, 6-féle üzemmód, 2460 W, MEAL funkció, DUAL funkció, fekete</t>
        </is>
      </c>
      <c r="C393" s="1" t="n">
        <v>49690.0</v>
      </c>
      <c r="D393" s="7" t="n">
        <f>HYPERLINK("https://www.somogyi.hu/product/home-hg-af-24-air-fryer-forrolevegos-fritoz-2-x-3-8-literes-6-fele-uzemmod-2460-w-meal-funkcio-dual-funkcio-fekete-hg-af-24-18053","https://www.somogyi.hu/product/home-hg-af-24-air-fryer-forrolevegos-fritoz-2-x-3-8-literes-6-fele-uzemmod-2460-w-meal-funkcio-dual-funkcio-fekete-hg-af-24-18053")</f>
        <v>0.0</v>
      </c>
      <c r="E393" s="7" t="n">
        <f>HYPERLINK("https://www.somogyi.hu/data/img/product_main_images/small/18053.jpg","https://www.somogyi.hu/data/img/product_main_images/small/18053.jpg")</f>
        <v>0.0</v>
      </c>
      <c r="F393" s="2" t="inlineStr">
        <is>
          <t>5999084960759</t>
        </is>
      </c>
      <c r="G393" s="4" t="inlineStr">
        <is>
          <t>Szeretne egyszerre elkészíteni többféle ételt, olaj nélkül, gyorsan és egészségesen? A Home HG AF 24 air fryer forrólevegős fritőz tökéletes választás azoknak, akik a korszerű, olajmentes sütést kedvelik, és nagyobb család számára is praktikus megoldásokat keresnek. 
Ezzel a 2460 wattos teljesítményű készülékkel az ételek kívül ropogósak, belül pedig omlósak lesznek, és mindezt gyorsan, egyszerűen érheti el. A készülék két különálló, 3,8 literes kosárral rendelkezik, amelyek függetlenül is használhatók. A DUAL funkció lehetővé teszi, hogy ugyanazt az ételt nagyobb mennyiségben, két kosárban egyszerre készítse el, míg a MEAL funkció segítségével akár két különböző fogást is egyszerre süthet meg, így időt és energiát takaríthat meg. Az 6-féle üzemmód – forrólevegős sütés, pirítás, sütés, aszalás, kiolvasztás és újramelegítés – révén ez az air fryer számos konyhai funkciót kivált, és könnyedén alkalmazkodik minden ételtípushoz. A digitális vezérlésnek köszönhetően a hőmérséklet és a hátralévő idő is működés közben állítható, így bármikor módosíthat az elkészítési paramétereken. A kényelmes és intuitív kezelőfelület lehetővé teszi, hogy a beállításokat egyszerűen végezze el, így a sütési folyamat mindig az Ön irányítása alatt áll.
Válassza a Home HG AF 24 air fryert, ha egy sokoldalú, hatékony és egészséges megoldást szeretne a konyhájában, amely egyszerre több ételt is elkészít minimális olajfelhasználással! Élvezze az egészséges, ropogós finomságokat gyorsan és kényelmesen ezzel a modern forrólevegős fritőzzel!</t>
        </is>
      </c>
    </row>
    <row r="394">
      <c r="A394" s="3" t="inlineStr">
        <is>
          <t>HG EK 1000/SZ</t>
        </is>
      </c>
      <c r="B394" s="2" t="inlineStr">
        <is>
          <t>Home HG EK 1000/SZ szigetelő gyűrű</t>
        </is>
      </c>
      <c r="C394" s="1" t="n">
        <v>1450.0</v>
      </c>
      <c r="D394" s="7" t="n">
        <f>HYPERLINK("https://www.somogyi.hu/product/home-hg-ek-1000-sz-szigetelo-gyuru-hg-ek-1000-sz-17083","https://www.somogyi.hu/product/home-hg-ek-1000-sz-szigetelo-gyuru-hg-ek-1000-sz-17083")</f>
        <v>0.0</v>
      </c>
      <c r="E394" s="7" t="n">
        <f>HYPERLINK("https://www.somogyi.hu/data/img/product_main_images/small/17083.jpg","https://www.somogyi.hu/data/img/product_main_images/small/17083.jpg")</f>
        <v>0.0</v>
      </c>
      <c r="F394" s="2" t="inlineStr">
        <is>
          <t>5999084951153</t>
        </is>
      </c>
      <c r="G394" s="4" t="inlineStr">
        <is>
          <t>A szigetelő gyűrű a HG EK 1000 multifunkciós elektromos kukta pótalkatrésze. A készülék fedélének lezárásánál biztosítja nyomás megtartását, így a biztosságos működtetés érdekében az esetleges elhasználódás esetén feltétlen cserélni kell!</t>
        </is>
      </c>
    </row>
    <row r="395">
      <c r="A395" s="6" t="inlineStr">
        <is>
          <t xml:space="preserve">   Háztartási gép, eszköz / Tejhabosító</t>
        </is>
      </c>
      <c r="B395" s="6" t="inlineStr">
        <is>
          <t/>
        </is>
      </c>
      <c r="C395" s="6" t="inlineStr">
        <is>
          <t/>
        </is>
      </c>
      <c r="D395" s="6" t="inlineStr">
        <is>
          <t/>
        </is>
      </c>
      <c r="E395" s="6" t="inlineStr">
        <is>
          <t/>
        </is>
      </c>
      <c r="F395" s="6" t="inlineStr">
        <is>
          <t/>
        </is>
      </c>
      <c r="G395" s="6" t="inlineStr">
        <is>
          <t/>
        </is>
      </c>
    </row>
    <row r="396">
      <c r="A396" s="3" t="inlineStr">
        <is>
          <t>HG TH 150</t>
        </is>
      </c>
      <c r="B396" s="2" t="inlineStr">
        <is>
          <t>Home HG TH 150 tejhabosító, teljesítmény 550 W, tejmelegítés 300 ml és tejhabkészítés 150 ml tejből, melegítés 65°C-ra</t>
        </is>
      </c>
      <c r="C396" s="1" t="n">
        <v>14590.0</v>
      </c>
      <c r="D396" s="7" t="n">
        <f>HYPERLINK("https://www.somogyi.hu/product/home-hg-th-150-tejhabosito-teljesitmeny-550-w-tejmelegites-300-ml-es-tejhabkeszites-150-ml-tejbol-melegites-65-c-ra-hg-th-150-17560","https://www.somogyi.hu/product/home-hg-th-150-tejhabosito-teljesitmeny-550-w-tejmelegites-300-ml-es-tejhabkeszites-150-ml-tejbol-melegites-65-c-ra-hg-th-150-17560")</f>
        <v>0.0</v>
      </c>
      <c r="E396" s="7" t="n">
        <f>HYPERLINK("https://www.somogyi.hu/data/img/product_main_images/small/17560.jpg","https://www.somogyi.hu/data/img/product_main_images/small/17560.jpg")</f>
        <v>0.0</v>
      </c>
      <c r="F396" s="2" t="inlineStr">
        <is>
          <t>5999084955823</t>
        </is>
      </c>
      <c r="G396" s="4" t="inlineStr">
        <is>
          <t>Hogyan készíthetné el tökéletesen habos, meleg lattéját vagy kakaóját otthon, egy kávézói látogatás nélkül? A válasz egyszerű: Home TH 150, egy innovatív, 450-550 W teljesítményű tejhabosítóval, mely egyben tejmelegítőként is funkcionál. 
A készülék termosztátvezérelt technológiája lehetővé teszi a tej és tejhab készítését egyszerűen és gyorsan: 300 ml tej melegítéséhez és 150 ml tejhab előállításához tökéletes választás. A rozsdamentes acél és műanyag dupla falú kivitel nemcsak esztétikus megjelenést kölcsönöz, hanem hosszantartó hőmegtartást is biztosít. A tapadásmentes belső felület kényelmes és egyszerű tisztítást garantál, így a készülék használata minden alkalommal higiénikus marad. A tej melegítése 65°C-ra történik, így az ital mindig a tökéletes hőmérsékleten készül el. A kompakt méretek – 10x20x15,5 cm – lehetővé teszik, hogy a készülék könnyen elférjen bármely konyhában. 
Fedezze fel a tökéletes ízek világát és varázsolja otthonába a kávézók hangulatát ezzel a kiváló tejhabosító és melegítő készülékkel!</t>
        </is>
      </c>
    </row>
    <row r="397">
      <c r="A397" s="3" t="inlineStr">
        <is>
          <t>GD 160</t>
        </is>
      </c>
      <c r="B397" s="2" t="inlineStr">
        <is>
          <t>Pedrini GD 160 elemes tejhabosító, keverő, fém kivitel</t>
        </is>
      </c>
      <c r="C397" s="1" t="n">
        <v>5590.0</v>
      </c>
      <c r="D397" s="7" t="n">
        <f>HYPERLINK("https://www.somogyi.hu/product/pedrini-gd-160-elemes-tejhabosito-kevero-fem-kivitel-gd-160-18020","https://www.somogyi.hu/product/pedrini-gd-160-elemes-tejhabosito-kevero-fem-kivitel-gd-160-18020")</f>
        <v>0.0</v>
      </c>
      <c r="E397" s="7" t="n">
        <f>HYPERLINK("https://www.somogyi.hu/data/img/product_main_images/small/18020.jpg","https://www.somogyi.hu/data/img/product_main_images/small/18020.jpg")</f>
        <v>0.0</v>
      </c>
      <c r="F397" s="2" t="inlineStr">
        <is>
          <t>883336416819</t>
        </is>
      </c>
      <c r="G397" s="4" t="inlineStr">
        <is>
          <t>Egy praktikus eszközt keres, amellyel bárhol, bármikor pillanatok alatt készíthet habosított tejet vagy keverhet italokat? A Pedrini GD 160 elemes tejhabosító tökéletes választás mindazok számára, akik szeretik a kávéházi élményt az otthonukba varázsolni! 
Ez a kompakt és elegáns, fém kivitelű tejhabosító gyorsan és hatékonyan dolgozik, így ideális cappuccino, latte, forró csokoládé vagy akár könnyű koktélok elkészítéséhez. A Pedrini GD 160 tejhabosító tápellátását két darab 1,5 V-os AA elem biztosítja (nem tartozék), így nincs szükség hálózati csatlakozásra, és bárhol könnyedén használható. Kis mérete (3,5 x 21 x 2,5 cm) lehetővé teszi, hogy konyhapulton vagy fiókban is kényelmesen tárolható legyen, ráadásul könnyen hordozható, így akár munkahelyére vagy utazásai során is magával viheti. Az eszköz fémből készült, amely elegáns megjelenést és hosszú élettartamot biztosít, így mindennapi használatra is ideális. A tejhabosító ergonomikus kialakítása kényelmes fogást nyújt, míg a hatékony motor pillanatok alatt krémes, finom habot készít kedvenc italaihoz.
Fedezze fel a Pedrini GD 160 elemes tejhabosító nyújtotta szabadságot és kényelmet, és élvezze a finom, habos kávékat vagy italokat, bárhol, bármikor! Válassza ezt a praktikus és stílusos tejhabosítót, és tegye különlegessé minden egyes kortyot!</t>
        </is>
      </c>
    </row>
    <row r="398">
      <c r="A398" s="6" t="inlineStr">
        <is>
          <t xml:space="preserve">   Háztartási gép, eszköz / Serpenyő, wok</t>
        </is>
      </c>
      <c r="B398" s="6" t="inlineStr">
        <is>
          <t/>
        </is>
      </c>
      <c r="C398" s="6" t="inlineStr">
        <is>
          <t/>
        </is>
      </c>
      <c r="D398" s="6" t="inlineStr">
        <is>
          <t/>
        </is>
      </c>
      <c r="E398" s="6" t="inlineStr">
        <is>
          <t/>
        </is>
      </c>
      <c r="F398" s="6" t="inlineStr">
        <is>
          <t/>
        </is>
      </c>
      <c r="G398" s="6" t="inlineStr">
        <is>
          <t/>
        </is>
      </c>
    </row>
    <row r="399">
      <c r="A399" s="3" t="inlineStr">
        <is>
          <t>10-144-100</t>
        </is>
      </c>
      <c r="B399" s="2" t="inlineStr">
        <is>
          <t>NAVA 10-144-100 serpenyő, 20 cm átmérő, tapadásmentes kőbevonat, indukciós főzőlapon is használható, mosogatógépben mosható</t>
        </is>
      </c>
      <c r="C399" s="1" t="n">
        <v>6890.0</v>
      </c>
      <c r="D399" s="7" t="n">
        <f>HYPERLINK("https://www.somogyi.hu/product/nava-10-144-100-serpenyo-20-cm-atmero-tapadasmentes-kobevonat-indukcios-fozolapon-is-hasznalhato-mosogatogepben-moshato-10-144-100-17676","https://www.somogyi.hu/product/nava-10-144-100-serpenyo-20-cm-atmero-tapadasmentes-kobevonat-indukcios-fozolapon-is-hasznalhato-mosogatogepben-moshato-10-144-100-17676")</f>
        <v>0.0</v>
      </c>
      <c r="E399" s="7" t="n">
        <f>HYPERLINK("https://www.somogyi.hu/data/img/product_main_images/small/17676.jpg","https://www.somogyi.hu/data/img/product_main_images/small/17676.jpg")</f>
        <v>0.0</v>
      </c>
      <c r="F399" s="2" t="inlineStr">
        <is>
          <t>5205746087253</t>
        </is>
      </c>
      <c r="G399" s="4" t="inlineStr">
        <is>
          <t>A Nava Serpenyő tapadásmentes kőbevonattal minden háztartás nélkülözhetetlen felszerelése. Indukciós, kerámia és gáz főzőlapon is egyaránt használható. A speciális tapadásmentes bevonatának köszönhetően az ételek nem tapadnak le benne, és a tisztítása is rendkívül egyszerű. A serpenyő átmérője 20 cm, így tökéletesen megfelel kisebb adagok elkészítéséhez. Akár mosogatógépben is mosható. A fa mintázatú nyéllel ellátott serpenyő elegáns kiegészítője lehet bármely konyhának.</t>
        </is>
      </c>
    </row>
    <row r="400">
      <c r="A400" s="3" t="inlineStr">
        <is>
          <t>10-255-004</t>
        </is>
      </c>
      <c r="B400" s="2" t="inlineStr">
        <is>
          <t>Nava 10-255-004 Ωmega tapadásmentes öntött alumínium serpenyő, kőbevonattal, 28 cm</t>
        </is>
      </c>
      <c r="C400" s="1" t="n">
        <v>12190.0</v>
      </c>
      <c r="D400" s="7" t="n">
        <f>HYPERLINK("https://www.somogyi.hu/product/nava-10-255-004-mega-tapadasmentes-ontott-aluminium-serpenyo-kobevonattal-28-cm-10-255-004-18625","https://www.somogyi.hu/product/nava-10-255-004-mega-tapadasmentes-ontott-aluminium-serpenyo-kobevonattal-28-cm-10-255-004-18625")</f>
        <v>0.0</v>
      </c>
      <c r="E400" s="7" t="n">
        <f>HYPERLINK("https://www.somogyi.hu/data/img/product_main_images/small/18625.jpg","https://www.somogyi.hu/data/img/product_main_images/small/18625.jpg")</f>
        <v>0.0</v>
      </c>
      <c r="F400" s="2" t="inlineStr">
        <is>
          <t>5205746161304</t>
        </is>
      </c>
      <c r="G400" s="4" t="inlineStr">
        <is>
          <t>Szeretne egy serpenyőt, ami gyorsan felmelegszik és hosszú ideig tartja a hőt, miközben energiát takaríthat meg? A Nava 10-255-004 Ωmega tapadásmentes öntött alumínium serpenyő öt rétegű kőhatású tapadásmentes bevonattal rendelkezik, amely modern, időtálló designnal ötvözi az kiváló hővezető képességeket. 
Gyors felmelegedés és hőmegörzés jellemzi, ami egyenletes, egészséges és finom étel elkészítését teszi lehetővé alacsony hőmérsékleten, energiát megtakarítva.
Az öntött alumíniumból készült, 28 cm átmérőjű masszív kialakítású, nehéz aljjal rendelkező serpenyő tökéletesen illeszkedik a főzőlapra, így a hő egyenletesen oszlik el a serpenyő teljes felületén, kiemelkedő eredményeket biztosítva. Az öt rétegű, minőségi tapadásmentes belső bevonat hosszú távú tartósságot biztosít a mindennapi használat során, míg az erősített külső felület ellenáll a karcolásoknak, és sima felülete garantálja a könnyű tisztítást.
A különlegesen tervezett ergonomikus, hőálló soft touch markolatok kényelmes és biztonságos fogást nyújtanak, megvédenek a magas hőmérséklettől. A gyártási folyamat alacsony szén-dioxid-lábnyomot eredményez, és kizárja a PFOA-t. Minden típusú tűzhelyen használható: gáz, elektromos, kerámia, halogén és indukciós. Mosogatógépben mosható. A tapadásmentes bevonat megfelel az élelmiszerrel érintkező anyagokra vonatkozó előírásoknak.
Néhány tipp, hogy sokáig és biztonságosan használhassa a terméket:
* Az első használat előtt mossa el a serpenyőt langyos, szappanos vízzel és puha szivaccsal.
* Minden használat előtt kenje be a serpenyő belső felületét olajjal vagy vajjal.
* Ne hevítse túl a serpenyőt üresen, és vegye le a tűzhelyről, mielőtt a tartalma teljesen elpárologna.
* Alacsony vagy közepes hő elegendő a legjobb sütési eredmények eléréséhez.
* A serpenyő kapacitásának több mint 2/3-ával ne töltse meg, hogy elkerülje a túlcsordulást.
* A serpenyő ellenáll a hirtelen hőmérséklet-változásnak. Hosszabb élettartam érdekében hagyja lehűlni, majd mosogassa langyos, szappanos vízzel és puha szivaccsal.
* Fa, műanyag vagy szilikon konyhai eszközök használata javasolt a tapadásmentes bevonat élettartamának meghosszabbítása érdekében.
* Éles eszközökkel soha ne vágja az ételt a serpenyőben.
* Olyan tűzhelyet használjon, amelynek mérete egyenlő vagy kisebb, mint a serpenyő alja.
* Ne hevítse túl a zsiradékot vagy olajat, ne füstöljön, égjen vagy feketedjen meg.
* Fém szivacsok, drót vagy erős tisztítószerek használata nem ajánlott.
Fedezze fel a Nava Ωmega tapadásmentes öntött alumínium serpenyő nyújtotta kivételes főzési élményt!</t>
        </is>
      </c>
    </row>
    <row r="401">
      <c r="A401" s="3" t="inlineStr">
        <is>
          <t>10-255-003</t>
        </is>
      </c>
      <c r="B401" s="2" t="inlineStr">
        <is>
          <t>Nava 10-255-003 Ωmega tapadásmentes öntött alumínium serpenyő, kőbevonattal, 26 cm</t>
        </is>
      </c>
      <c r="C401" s="1" t="n">
        <v>10790.0</v>
      </c>
      <c r="D401" s="7" t="n">
        <f>HYPERLINK("https://www.somogyi.hu/product/nava-10-255-003-mega-tapadasmentes-ontott-aluminium-serpenyo-kobevonattal-26-cm-10-255-003-18624","https://www.somogyi.hu/product/nava-10-255-003-mega-tapadasmentes-ontott-aluminium-serpenyo-kobevonattal-26-cm-10-255-003-18624")</f>
        <v>0.0</v>
      </c>
      <c r="E401" s="7" t="n">
        <f>HYPERLINK("https://www.somogyi.hu/data/img/product_main_images/small/18624.jpg","https://www.somogyi.hu/data/img/product_main_images/small/18624.jpg")</f>
        <v>0.0</v>
      </c>
      <c r="F401" s="2" t="inlineStr">
        <is>
          <t>5205746159943</t>
        </is>
      </c>
      <c r="G401" s="4" t="inlineStr">
        <is>
          <t>Szeretne egy serpenyőt, ami gyorsan felmelegszik és hosszú ideig tartja a hőt, miközben energiát takaríthat meg? A Nava 10-255-003 Ωmega tapadásmentes öntött alumínium serpenyő öt rétegű kőhatású tapadásmentes bevonattal rendelkezik, amely modern, időtálló designnal ötvözi az kiváló hővezető képességeket. 
Gyors felmelegedés és hőmegörzés jellemzi, ami egyenletes, egészséges és finom étel elkészítését teszi lehetővé alacsony hőmérsékleten, energiát megtakarítva.
Az öntött alumíniumból készült, 26 cm átmérőjű masszív kialakítású, nehéz aljjal rendelkező serpenyő tökéletesen illeszkedik a főzőlapra, így a hő egyenletesen oszlik el a serpenyő teljes felületén, kiemelkedő eredményeket biztosítva. Az öt rétegű, minőségi tapadásmentes belső bevonat hosszú távú tartósságot biztosít a mindennapi használat során, míg az erősített külső felület ellenáll a karcolásoknak, és sima felülete garantálja a könnyű tisztítást.
A különlegesen tervezett ergonomikus, hőálló soft touch markolatok kényelmes és biztonságos fogást nyújtanak, megvédenek a magas hőmérséklettől. A gyártási folyamat alacsony szén-dioxid-lábnyomot eredményez, és kizárja a PFOA-t. Minden típusú tűzhelyen használható: gáz, elektromos, kerámia, halogén és indukciós. Mosogatógépben mosható. A tapadásmentes bevonat megfelel az élelmiszerrel érintkező anyagokra vonatkozó előírásoknak.
Néhány tipp, hogy sokáig és biztonságosan használhassa a terméket:
* Az első használat előtt mossa el a serpenyőt langyos, szappanos vízzel és puha szivaccsal.
* Minden használat előtt kenje be a serpenyő belső felületét olajjal vagy vajjal.
* Ne hevítse túl a serpenyőt üresen, és vegye le a tűzhelyről, mielőtt a tartalma teljesen elpárologna.
* Alacsony vagy közepes hő elegendő a legjobb sütési eredmények eléréséhez.
* A serpenyő kapacitásának több mint 2/3-ával ne töltse meg, hogy elkerülje a túlcsordulást.
* A serpenyő ellenáll a hirtelen hőmérséklet-változásnak. Hosszabb élettartam érdekében hagyja lehűlni, majd mosogassa langyos, szappanos vízzel és puha szivaccsal.
* Fa, műanyag vagy szilikon konyhai eszközök használata javasolt a tapadásmentes bevonat élettartamának meghosszabbítása érdekében.
* Éles eszközökkel soha ne vágja az ételt a serpenyőben.
* Olyan tűzhelyet használjon, amelynek mérete egyenlő vagy kisebb, mint a serpenyő alja.
* Ne hevítse túl a zsiradékot vagy olajat, ne füstöljön, égjen vagy feketedjen meg.
* Fém szivacsok, drót vagy erős tisztítószerek használata nem ajánlott.
Fedezze fel a Nava Ωmega tapadásmentes öntött alumínium serpenyő nyújtotta kivételes főzési élményt!</t>
        </is>
      </c>
    </row>
    <row r="402">
      <c r="A402" s="3" t="inlineStr">
        <is>
          <t>10-255-020</t>
        </is>
      </c>
      <c r="B402" s="2" t="inlineStr">
        <is>
          <t>Nava 10-255-020  Ωmega tapadásmentes öntött alumínium grillserpenyő, kőbevonattal, 28 cm</t>
        </is>
      </c>
      <c r="C402" s="1" t="n">
        <v>12690.0</v>
      </c>
      <c r="D402" s="7" t="n">
        <f>HYPERLINK("https://www.somogyi.hu/product/nava-10-255-020-mega-tapadasmentes-ontott-aluminium-grillserpenyo-kobevonattal-28-cm-10-255-020-18627","https://www.somogyi.hu/product/nava-10-255-020-mega-tapadasmentes-ontott-aluminium-grillserpenyo-kobevonattal-28-cm-10-255-020-18627")</f>
        <v>0.0</v>
      </c>
      <c r="E402" s="7" t="n">
        <f>HYPERLINK("https://www.somogyi.hu/data/img/product_main_images/small/18627.jpg","https://www.somogyi.hu/data/img/product_main_images/small/18627.jpg")</f>
        <v>0.0</v>
      </c>
      <c r="F402" s="2" t="inlineStr">
        <is>
          <t>5205746159837</t>
        </is>
      </c>
      <c r="G402" s="4" t="inlineStr">
        <is>
          <t>Szeretne egy serpenyőt, ami gyorsan felmelegszik és hosszú ideig tartja a hőt, miközben energiát takaríthat meg? A Nava 10-255-004 Ωmega tapadásmentes öntött alumínium serpenyő öt rétegű kőhatású tapadásmentes bevonattal rendelkezik, amely modern, időtálló designnal ötvözi az kiváló hővezető képességeket. 
Gyors felmelegedés és hőmegörzés jellemzi, ami egyenletes, egészséges és finom étel elkészítését teszi lehetővé alacsony hőmérsékleten, energiát megtakarítva.
Az öntött alumíniumból készült, 28 cm átmérőjű masszív kialakítású, nehéz aljjal rendelkező serpenyő tökéletesen illeszkedik a főzőlapra, így a hő egyenletesen oszlik el a serpenyő teljes felületén, kiemelkedő eredményeket biztosítva. Az öt rétegű, minőségi tapadásmentes belső bevonat hosszú távú tartósságot biztosít a mindennapi használat során, míg az erősített külső felület ellenáll a karcolásoknak, és sima felülete garantálja a könnyű tisztítást.
A különlegesen tervezett ergonomikus, hőálló soft touch markolatok kényelmes és biztonságos fogást nyújtanak, megvédenek a magas hőmérséklettől. A gyártási folyamat alacsony szén-dioxid-lábnyomot eredményez, és kizárja a PFOA-t. Minden típusú tűzhelyen használható: gáz, elektromos, kerámia, halogén és indukciós. Mosogatógépben mosható. A tapadásmentes bevonat megfelel az élelmiszerrel érintkező anyagokra vonatkozó előírásoknak.
Néhány tipp, hogy sokáig és biztonságosan használhassa a terméket:
* Az első használat előtt mossa el a serpenyőt langyos, szappanos vízzel és puha szivaccsal.
* Minden használat előtt kenje be a serpenyő belső felületét olajjal vagy vajjal.
* Ne hevítse túl a serpenyőt üresen, és vegye le a tűzhelyről, mielőtt a tartalma teljesen elpárologna.
* Alacsony vagy közepes hő elegendő a legjobb sütési eredmények eléréséhez.
* A serpenyő kapacitásának több mint 2/3-ával ne töltse meg, hogy elkerülje a túlcsordulást.
* A serpenyő ellenáll a hirtelen hőmérséklet-változásnak. Hosszabb élettartam érdekében hagyja lehűlni, majd mosogassa langyos, szappanos vízzel és puha szivaccsal.
* Fa, műanyag vagy szilikon konyhai eszközök használata javasolt a tapadásmentes bevonat élettartamának meghosszabbítása érdekében.
* Éles eszközökkel soha ne vágja az ételt a serpenyőben.
* Olyan tűzhelyet használjon, amelynek mérete egyenlő vagy kisebb, mint a serpenyő alja.
* Ne hevítse túl a zsiradékot vagy olajat, ne füstöljön, égjen vagy feketedjen meg.
* Fém szivacsok, drót vagy erős tisztítószerek használata nem ajánlott.
Fedezze fel a Nava Ωmega tapadásmentes öntött alumínium serpenyő nyújtotta kivételes főzési élményt!</t>
        </is>
      </c>
    </row>
    <row r="403">
      <c r="A403" s="3" t="inlineStr">
        <is>
          <t>10-144-110</t>
        </is>
      </c>
      <c r="B403" s="2" t="inlineStr">
        <is>
          <t>Nava 10-144-110 Nature tapadásmentes Wok serpenyő, kőbevonattal, 28 cm</t>
        </is>
      </c>
      <c r="C403" s="1" t="n">
        <v>12490.0</v>
      </c>
      <c r="D403" s="7" t="n">
        <f>HYPERLINK("https://www.somogyi.hu/product/nava-10-144-110-nature-tapadasmentes-wok-serpenyo-kobevonattal-28-cm-10-144-110-17678","https://www.somogyi.hu/product/nava-10-144-110-nature-tapadasmentes-wok-serpenyo-kobevonattal-28-cm-10-144-110-17678")</f>
        <v>0.0</v>
      </c>
      <c r="E403" s="7" t="n">
        <f>HYPERLINK("https://www.somogyi.hu/data/img/product_main_images/small/17678.jpg","https://www.somogyi.hu/data/img/product_main_images/small/17678.jpg")</f>
        <v>0.0</v>
      </c>
      <c r="F403" s="2" t="inlineStr">
        <is>
          <t>5205746087406</t>
        </is>
      </c>
      <c r="G403" s="4" t="inlineStr">
        <is>
          <t>Egy wok serpenyőt keres, amelyikkel egészségesen és hatékonyan készítheti el kedvenc ételeit? Fedezze fel a 28cm átmérőjű Nava 10-144-110 Nature tapadásmentes Wok serpenyőt, amely kiváló minőségű alumíniumból készült, és öt rétegű, tapadásmentes kőbevonattal rendelkezik.
A kiváló és tartós tapadásmentes bevonat nagy ellenállást biztosít a karcolásokkal és a magas hőmérsékletekkel szemben. A gyártás során kis szén-dioxid-kibocsátású eljárásokat alkalmaznak, és a PFOA-t kiiktatják. Az öt rétegű tapadásmentes belső bevonat hosszú tartósságot biztosít a mindennapos használathoz, és tökéletes, egészséges főzési élményt garantál úgy, mintha természetes kövön sütne. A csúszásmentes, ergonomikus, fa mintázatú fogantyú még órákig tartó főzés után is hűvös marad, és könnyű használatot tesz lehetővé. A Nava Nature wok serpenyő hirtelen hőmérséklet-változásoknak ellenáll, és nagyon könnyen tisztítható.
Minden tűzhelytípushoz alkalmas: gáz, elektromos, kerámia, halogén és indukciós. Aljának átmérője: 16,5cm. Mosogatógépben is tisztítható.
Használat előtt mosogassa el a serpenyőt meleg, szappanos vízzel és puha szivaccsal. Minden használat előtt kenje be a serpenyő belső felületét olajjal vagy vajjal. Ne hevítse túl a serpenyőt üresen, és távolítsa el a tűzhelyről, mielőtt a tartalma elpárologna. Alacsony vagy közepes hő elegendő a legjobb főzési eredmények eléréséhez. A serpenyő hirtelen hőmérséklet-változásoknak ellenáll. Hosszabb élettartam érdekében hagyja a serpenyőt lehűlni, majd mosogassa meleg, szappanos vízzel és puha szivaccsal. Használjon fa, műanyag vagy szilikon konyhai eszközöket a tapadásmentes bevonat élettartamának meghosszabbítása érdekében. Soha ne vágja az ételt éles eszközökkel a serpenyőben. Használjon olyan tűzhelyet, amely azonos méretű vagy kisebb, mint a serpenyő alja. Ne hevítse túl a zsírt vagy az olajat füstölésig, égésig. Ne használjon fémszivacsokat, drótot vagy erős tisztítószereket. A tapadásmentes bevonat megfelel az élelmiszerrel való érintkezésre vonatkozó előírásoknak.
A Nava Nature Wok nem csak a konyhájának praktikus kiegészítője, hanem hosszú távon megbízható társa is lesz az egészséges és ízletes ételek elkészítésében. Ne várjon tovább, tegye meg az első lépést a minőségi és ízletes főzés felé még ma!</t>
        </is>
      </c>
    </row>
    <row r="404">
      <c r="A404" s="3" t="inlineStr">
        <is>
          <t>10-255-002</t>
        </is>
      </c>
      <c r="B404" s="2" t="inlineStr">
        <is>
          <t>Nava 10-255-002 Ωmega tapadásmentes öntött alumínium serpenyő, kőbevonattal, 24 cm</t>
        </is>
      </c>
      <c r="C404" s="1" t="n">
        <v>10190.0</v>
      </c>
      <c r="D404" s="7" t="n">
        <f>HYPERLINK("https://www.somogyi.hu/product/nava-10-255-002-mega-tapadasmentes-ontott-aluminium-serpenyo-kobevonattal-24-cm-10-255-002-18623","https://www.somogyi.hu/product/nava-10-255-002-mega-tapadasmentes-ontott-aluminium-serpenyo-kobevonattal-24-cm-10-255-002-18623")</f>
        <v>0.0</v>
      </c>
      <c r="E404" s="7" t="n">
        <f>HYPERLINK("https://www.somogyi.hu/data/img/product_main_images/small/18623.jpg","https://www.somogyi.hu/data/img/product_main_images/small/18623.jpg")</f>
        <v>0.0</v>
      </c>
      <c r="F404" s="2" t="inlineStr">
        <is>
          <t>5205746159752</t>
        </is>
      </c>
      <c r="G404" s="4" t="inlineStr">
        <is>
          <t>Szeretne egy serpenyőt, ami gyorsan felmelegszik és hosszú ideig tartja a hőt, miközben energiát takaríthat meg? A Nava 10-255-002 Ωmega tapadásmentes öntött alumínium serpenyő öt rétegű kőhatású tapadásmentes bevonattal rendelkezik, amely modern, időtálló designnal ötvözi az kiváló hővezető képességeket. 
Gyors felmelegedés és hőmegörzés jellemzi, ami egyenletes, egészséges és finom étel elkészítését teszi lehetővé alacsony hőmérsékleten, energiát megtakarítva.
Az öntött alumíniumból készült, 24 cm átmérőjű masszív kialakítású, nehéz aljjal rendelkező serpenyő tökéletesen illeszkedik a főzőlapra, így a hő egyenletesen oszlik el a serpenyő teljes felületén, kiemelkedő eredményeket biztosítva. Az öt rétegű, minőségi tapadásmentes belső bevonat hosszú távú tartósságot biztosít a mindennapi használat során, míg az erősített külső felület ellenáll a karcolásoknak, és sima felülete garantálja a könnyű tisztítást.
A különlegesen tervezett ergonomikus, hőálló soft touch markolatok kényelmes és biztonságos fogást nyújtanak, megvédenek a magas hőmérséklettől. A gyártási folyamat alacsony szén-dioxid-lábnyomot eredményez, és kizárja a PFOA-t. Minden típusú tűzhelyen használható: gáz, elektromos, kerámia, halogén és indukciós. Mosogatógépben mosható. A tapadásmentes bevonat megfelel az élelmiszerrel érintkező anyagokra vonatkozó előírásoknak.
Néhány tipp, hogy sokáig és biztonságosan használhassa a terméket:
* Az első használat előtt mossa el a serpenyőt langyos, szappanos vízzel és puha szivaccsal.
* Minden használat előtt kenje be a serpenyő belső felületét olajjal vagy vajjal.
* Ne hevítse túl a serpenyőt üresen, és vegye le a tűzhelyről, mielőtt a tartalma teljesen elpárologna.
* Alacsony vagy közepes hő elegendő a legjobb sütési eredmények eléréséhez.
* A serpenyő kapacitásának több mint 2/3-ával ne töltse meg, hogy elkerülje a túlcsordulást.
* A serpenyő ellenáll a hirtelen hőmérséklet-változásnak. Hosszabb élettartam érdekében hagyja lehűlni, majd mosogassa langyos, szappanos vízzel és puha szivaccsal.
* Fa, műanyag vagy szilikon konyhai eszközök használata javasolt a tapadásmentes bevonat élettartamának meghosszabbítása érdekében.
* Éles eszközökkel soha ne vágja az ételt a serpenyőben.
* Olyan tűzhelyet használjon, amelynek mérete egyenlő vagy kisebb, mint a serpenyő alja.
* Ne hevítse túl a zsiradékot vagy olajat, ne füstöljön, égjen vagy feketedjen meg.
* Fém szivacsok, drót vagy erős tisztítószerek használata nem ajánlott.
Fedezze fel a Nava Ωmega tapadásmentes öntött alumínium serpenyő nyújtotta kivételes főzési élményt!</t>
        </is>
      </c>
    </row>
    <row r="405">
      <c r="A405" s="3" t="inlineStr">
        <is>
          <t>10-144-103</t>
        </is>
      </c>
      <c r="B405" s="2" t="inlineStr">
        <is>
          <t>Nava 10-144-103 Nature tapadásmentes serpenyő, kőbevonattal, 28 cm átmérő</t>
        </is>
      </c>
      <c r="C405" s="1" t="n">
        <v>11190.0</v>
      </c>
      <c r="D405" s="7" t="n">
        <f>HYPERLINK("https://www.somogyi.hu/product/nava-10-144-103-nature-tapadasmentes-serpenyo-kobevonattal-28-cm-atmero-10-144-103-17677","https://www.somogyi.hu/product/nava-10-144-103-nature-tapadasmentes-serpenyo-kobevonattal-28-cm-atmero-10-144-103-17677")</f>
        <v>0.0</v>
      </c>
      <c r="E405" s="7" t="n">
        <f>HYPERLINK("https://www.somogyi.hu/data/img/product_main_images/small/17677.jpg","https://www.somogyi.hu/data/img/product_main_images/small/17677.jpg")</f>
        <v>0.0</v>
      </c>
      <c r="F405" s="2" t="inlineStr">
        <is>
          <t>5205746087079</t>
        </is>
      </c>
      <c r="G405" s="4" t="inlineStr">
        <is>
          <t>Egy serpenyőt keres, amelyikkel egészségesen és hatékonyan készítheti el kedvenc ételeit? Fedezze fel a 28cm átmérőjű Nava 10-144-103 Nature tapadásmentes serpenyőt, amely kiváló minőségű alumíniumból készült, és öt rétegű, tapadásmentes kőbevonattal rendelkezik.
A kiváló és tartós tapadásmentes bevonat nagy ellenállást biztosít a karcolásokkal és a magas hőmérsékletekkel szemben. A gyártás során kis szén-dioxid-kibocsátású eljárásokat alkalmaznak, és a PFOA-t kiiktatják. Az öt rétegű tapadásmentes belső bevonat hosszú tartósságot biztosít a mindennapos használathoz, és tökéletes, egészséges főzési élményt garantál úgy, mintha természetes kövön sütne. A csúszásmentes, ergonomikus, fa mintázatú fogantyú még órákig tartó főzés után is hűvös marad, és könnyű használatot tesz lehetővé. A Nava Nature serpenyő hirtelen hőmérséklet-változásoknak ellenáll, és nagyon könnyen tisztítható.
Minden tűzhelytípushoz alkalmas: gáz, elektromos, kerámia, halogén és indukciós. Aljának átmérője: 19cm. Mosogatógépben is tisztítható.
Használat előtt mosogassa el a serpenyőt meleg, szappanos vízzel és puha szivaccsal. Minden használat előtt kenje be a serpenyő belső felületét olajjal vagy vajjal. Ne hevítse túl a serpenyőt üresen, és távolítsa el a tűzhelyről, mielőtt a tartalma elpárologna. Alacsony vagy közepes hő elegendő a legjobb főzési eredmények eléréséhez. A serpenyő hirtelen hőmérséklet-változásoknak ellenáll. Hosszabb élettartam érdekében hagyja a serpenyőt lehűlni, majd mosogassa meleg, szappanos vízzel és puha szivaccsal. Használjon fa, műanyag vagy szilikon konyhai eszközöket a tapadásmentes bevonat élettartamának meghosszabbítása érdekében. Soha ne vágja az ételt éles eszközökkel a serpenyőben. Használjon olyan tűzhelyet, amely azonos méretű vagy kisebb, mint a serpenyő alja. Ne hevítse túl a zsírt vagy az olajat füstölésig, égésig. Ne használjon fémszivacsokat, drótot vagy erős tisztítószereket. A tapadásmentes bevonat megfelel az élelmiszerrel való érintkezésre vonatkozó előírásoknak.
A Nava Nature serpenyő nem csak a konyhájának praktikus kiegészítője, hanem hosszú távon megbízható társa is lesz az egészséges és ízletes ételek elkészítésében. Ne várjon tovább, tegye meg az első lépést a minőségi és ízletes főzés felé még ma!</t>
        </is>
      </c>
    </row>
    <row r="406">
      <c r="A406" s="3" t="inlineStr">
        <is>
          <t>0APE039</t>
        </is>
      </c>
      <c r="B406" s="2" t="inlineStr">
        <is>
          <t>Pedrini 0APE039 rozsdamentes kukta, űrtartalom 5 liter, átmérő 22 cm, 3 rétegű talp, BPA FREE, három biztonsági szeleppel</t>
        </is>
      </c>
      <c r="C406" s="1" t="n">
        <v>32890.0</v>
      </c>
      <c r="D406" s="7" t="n">
        <f>HYPERLINK("https://www.somogyi.hu/product/pedrini-0ape039-rozsdamentes-kukta-urtartalom-5-liter-atmero-22-cm-3-retegu-talp-bpa-free-harom-biztonsagi-szeleppel-0ape039-18194","https://www.somogyi.hu/product/pedrini-0ape039-rozsdamentes-kukta-urtartalom-5-liter-atmero-22-cm-3-retegu-talp-bpa-free-harom-biztonsagi-szeleppel-0ape039-18194")</f>
        <v>0.0</v>
      </c>
      <c r="E406" s="7" t="n">
        <f>HYPERLINK("https://www.somogyi.hu/data/img/product_main_images/small/18194.jpg","https://www.somogyi.hu/data/img/product_main_images/small/18194.jpg")</f>
        <v>0.0</v>
      </c>
      <c r="F406" s="2" t="inlineStr">
        <is>
          <t>0883336420816</t>
        </is>
      </c>
      <c r="G406" s="4" t="inlineStr">
        <is>
          <t>Szeretné gyorsan és biztonságosan megfőzni az ételeket? A Pedrini 0APE039 rozsdamentes kukta tökéletes választás, hogy időt és energiát spóroljon a konyhában, miközben finom és egészséges ételeket készít. 
Ez a kukta 5 literes űrtartalommal és 22 cm átmérővel rendelkezik, így ideális választás családi ételek készítéséhez. Rozsdamentes acélból készült, ami hosszú élettartamot és tartósságot biztosít. A gyors zárral ellátott fedőrész három biztonsági szeleppel rendelkezik, amelyek megakadályozzák a nyomás alatti nyitást, így a főzés mindig biztonságos marad. A három rétegű acél-alumínium-acél talp egyenletes hőeloszlást biztosít, ami garantálja az ételek tökéletes elkészítését.
Ez a kukta indukciós főzőlapon is használható, így sokoldalú és praktikus kiegészítője lehet bármelyik modern konyhának.
Válassza a Pedrini 0APE039 rozsdamentes kuktát, hogy gyorsan és biztonságosan főzhessen ízletes ételeket minden nap! Rendelje meg most, és élvezze a konyhai munka kényelmét és hatékonyságát!</t>
        </is>
      </c>
    </row>
    <row r="407">
      <c r="A407" s="3" t="inlineStr">
        <is>
          <t>10-144-112</t>
        </is>
      </c>
      <c r="B407" s="2" t="inlineStr">
        <is>
          <t>Nava 10-144-112 Nature tapadásmantes  palacsintasütő, kőbevonattal, 24 cm</t>
        </is>
      </c>
      <c r="C407" s="1" t="n">
        <v>8590.0</v>
      </c>
      <c r="D407" s="7" t="n">
        <f>HYPERLINK("https://www.somogyi.hu/product/nava-10-144-112-nature-tapadasmantes-palacsintasuto-kobevonattal-24-cm-10-144-112-17679","https://www.somogyi.hu/product/nava-10-144-112-nature-tapadasmantes-palacsintasuto-kobevonattal-24-cm-10-144-112-17679")</f>
        <v>0.0</v>
      </c>
      <c r="E407" s="7" t="n">
        <f>HYPERLINK("https://www.somogyi.hu/data/img/product_main_images/small/17679.jpg","https://www.somogyi.hu/data/img/product_main_images/small/17679.jpg")</f>
        <v>0.0</v>
      </c>
      <c r="F407" s="2" t="inlineStr">
        <is>
          <t>5205746087468</t>
        </is>
      </c>
      <c r="G407" s="4" t="inlineStr">
        <is>
          <t>Egy palacsintasütőt keres, amelyikkel egészségesen és hatékonyan készítheti el kedvenc ételeit? Fedezze fel a 24cm átmérőjű Nava 10-144-112 Nature tapadásmentes  palacsintasütő, amely kiváló minőségű alumíniumból készült, és öt rétegű, tapadásmentes kőbevonattal rendelkezik.
A kiváló és tartós tapadásmentes bevonat nagy ellenállást biztosít a karcolásokkal és a magas hőmérsékletekkel szemben. A gyártás során kis szén-dioxid-kibocsátású eljárásokat alkalmaznak, és a PFOA-t kiiktatják. Az öt rétegű tapadásmentes belső bevonat hosszú tartósságot biztosít a mindennapos használathoz, és tökéletes, egészséges főzési élményt garantál úgy, mintha természetes kövön sütne. A csúszásmentes, ergonomikus, fa mintázatú fogantyú még órákig tartó főzés után is hűvös marad, és könnyű használatot tesz lehetővé. A Nava Nature palacsintasütő hirtelen hőmérséklet-változásoknak ellenáll, és nagyon könnyen tisztítható.
Minden tűzhelytípushoz alkalmas: gáz, elektromos, kerámia, halogén és indukciós. Aljának átmérője: 19cm. Mosogatógépben is tisztítható.
Használat előtt mosogassa el a serpenyőt meleg, szappanos vízzel és puha szivaccsal. Minden használat előtt kenje be a serpenyő belső felületét olajjal vagy vajjal. Ne hevítse túl a palacsintasütőt üresen, és távolítsa el a tűzhelyről, mielőtt a tartalma elpárologna. Alacsony vagy közepes hő elegendő a legjobb főzési eredmények eléréséhez. A palacsintasütő hirtelen hőmérséklet-változásoknak ellenáll. Hosszabb élettartam érdekében hagyja lehűlni, majd mosogassa meleg, szappanos vízzel és puha szivaccsal. Használjon fa, műanyag vagy szilikon konyhai eszközöket a tapadásmentes bevonat élettartamának meghosszabbítása érdekében. Soha ne vágja az ételt éles eszközökkel a palacsintasütőben. Használjon olyan tűzhelyet, amely azonos méretű vagy kisebb, mint a palacsintasütő alja. Ne hevítse túl a zsírt vagy az olajat füstölésig, égésig. Ne használjon fémszivacsokat, drótot vagy erős tisztítószereket. A tapadásmentes bevonat megfelel az élelmiszerrel való érintkezésre vonatkozó előírásoknak.
A Nava Nature palacsintasütő nem csak a konyhájának praktikus kiegészítője, hanem hosszú távon megbízható társa is lesz az egészséges és ízletes ételek elkészítésében. Ne várjon tovább, tegye meg az első lépést a minőségi és ízletes főzés felé még ma!</t>
        </is>
      </c>
    </row>
    <row r="408">
      <c r="A408" s="3" t="inlineStr">
        <is>
          <t>10-255-001</t>
        </is>
      </c>
      <c r="B408" s="2" t="inlineStr">
        <is>
          <t>Nava 10-255-001 Ωmega tapadásmentes öntött alumínium serpenyő, kőbevonattal, 20 cm</t>
        </is>
      </c>
      <c r="C408" s="1" t="n">
        <v>7990.0</v>
      </c>
      <c r="D408" s="7" t="n">
        <f>HYPERLINK("https://www.somogyi.hu/product/nava-10-255-001-mega-tapadasmentes-ontott-aluminium-serpenyo-kobevonattal-20-cm-10-255-001-18622","https://www.somogyi.hu/product/nava-10-255-001-mega-tapadasmentes-ontott-aluminium-serpenyo-kobevonattal-20-cm-10-255-001-18622")</f>
        <v>0.0</v>
      </c>
      <c r="E408" s="7" t="n">
        <f>HYPERLINK("https://www.somogyi.hu/data/img/product_main_images/small/18622.jpg","https://www.somogyi.hu/data/img/product_main_images/small/18622.jpg")</f>
        <v>0.0</v>
      </c>
      <c r="F408" s="2" t="inlineStr">
        <is>
          <t>5205746160048</t>
        </is>
      </c>
      <c r="G408" s="4" t="inlineStr">
        <is>
          <t>Szeretne egy serpenyőt, ami gyorsan felmelegszik és hosszú ideig tartja a hőt, miközben energiát takaríthat meg? A Nava 10-255-001 Ωmega tapadásmentes öntött alumínium serpenyő öt rétegű kőhatású tapadásmentes bevonattal rendelkezik, amely modern, időtálló designnal ötvözi az kiváló hővezető képességeket. 
Gyors felmelegedés és hőmegörzés jellemzi, ami egyenletes, egészséges és finom étel elkészítését teszi lehetővé alacsony hőmérsékleten, energiát megtakarítva.
Az öntött alumíniumból készült, 20 cm átmérőjű masszív kialakítású, nehéz aljjal rendelkező serpenyő tökéletesen illeszkedik a főzőlapra, így a hő egyenletesen oszlik el a serpenyő teljes felületén, kiemelkedő eredményeket biztosítva. Az öt rétegű, minőségi tapadásmentes belső bevonat hosszú távú tartósságot biztosít a mindennapi használat során, míg az erősített külső felület ellenáll a karcolásoknak, és sima felülete garantálja a könnyű tisztítást.
A különlegesen tervezett ergonomikus, hőálló soft touch markolatok kényelmes és biztonságos fogást nyújtanak, megvédenek a magas hőmérséklettől. A gyártási folyamat alacsony szén-dioxid-lábnyomot eredményez, és kizárja a PFOA-t. Minden típusú tűzhelyen használható: gáz, elektromos, kerámia, halogén és indukciós. Mosogatógépben mosható. A tapadásmentes bevonat megfelel az élelmiszerrel érintkező anyagokra vonatkozó előírásoknak.
Néhány tipp, hogy sokáig és biztonságosan használhassa a terméket:
* Az első használat előtt mossa el a serpenyőt langyos, szappanos vízzel és puha szivaccsal.
* Minden használat előtt kenje be a serpenyő belső felületét olajjal vagy vajjal.
* Ne hevítse túl a serpenyőt üresen, és vegye le a tűzhelyről, mielőtt a tartalma teljesen elpárologna.
* Alacsony vagy közepes hő elegendő a legjobb sütési eredmények eléréséhez.
* A serpenyő kapacitásának több mint 2/3-ával ne töltse meg, hogy elkerülje a túlcsordulást.
* A serpenyő ellenáll a hirtelen hőmérséklet-változásnak. Hosszabb élettartam érdekében hagyja lehűlni, majd mosogassa langyos, szappanos vízzel és puha szivaccsal.
* Fa, műanyag vagy szilikon konyhai eszközök használata javasolt a tapadásmentes bevonat élettartamának meghosszabbítása érdekében.
* Éles eszközökkel soha ne vágja az ételt a serpenyőben.
* Olyan tűzhelyet használjon, amelynek mérete egyenlő vagy kisebb, mint a serpenyő alja.
* Ne hevítse túl a zsiradékot vagy olajat, ne füstöljön, égjen vagy feketedjen meg.
* Fém szivacsok, drót vagy erős tisztítószerek használata nem ajánlott.
Fedezze fel a Nava Ωmega tapadásmentes öntött alumínium serpenyő nyújtotta kivételes főzési élményt!</t>
        </is>
      </c>
    </row>
    <row r="409">
      <c r="A409" s="6" t="inlineStr">
        <is>
          <t xml:space="preserve">   Háztartási gép, eszköz / Edények</t>
        </is>
      </c>
      <c r="B409" s="6" t="inlineStr">
        <is>
          <t/>
        </is>
      </c>
      <c r="C409" s="6" t="inlineStr">
        <is>
          <t/>
        </is>
      </c>
      <c r="D409" s="6" t="inlineStr">
        <is>
          <t/>
        </is>
      </c>
      <c r="E409" s="6" t="inlineStr">
        <is>
          <t/>
        </is>
      </c>
      <c r="F409" s="6" t="inlineStr">
        <is>
          <t/>
        </is>
      </c>
      <c r="G409" s="6" t="inlineStr">
        <is>
          <t/>
        </is>
      </c>
    </row>
    <row r="410">
      <c r="A410" s="3" t="inlineStr">
        <is>
          <t>10-266-013</t>
        </is>
      </c>
      <c r="B410" s="2" t="inlineStr">
        <is>
          <t>Nava 10-266-013 Acer rozsdamentes acél kukta, 6 liter, biztonsági szelep</t>
        </is>
      </c>
      <c r="C410" s="1" t="n">
        <v>28290.0</v>
      </c>
      <c r="D410" s="7" t="n">
        <f>HYPERLINK("https://www.somogyi.hu/product/nava-10-266-013-acer-rozsdamentes-acel-kukta-6-liter-biztonsagi-szelep-10-266-013-18686","https://www.somogyi.hu/product/nava-10-266-013-acer-rozsdamentes-acel-kukta-6-liter-biztonsagi-szelep-10-266-013-18686")</f>
        <v>0.0</v>
      </c>
      <c r="E410" s="7" t="n">
        <f>HYPERLINK("https://www.somogyi.hu/data/img/product_main_images/small/18686.jpg","https://www.somogyi.hu/data/img/product_main_images/small/18686.jpg")</f>
        <v>0.0</v>
      </c>
      <c r="F410" s="2" t="inlineStr">
        <is>
          <t>5205746168792</t>
        </is>
      </c>
      <c r="G410" s="4" t="inlineStr">
        <is>
          <t>Szeretné felgyorsítani a főzési folyamatot, miközben megőrzi az ételek tápanyagtartalmát? A Nava 10-266-013 Acer rozsdamentes acél kukta tökéletes választás a gyors és egészséges ételek elkészítéséhez.
A 6 liter űrtartalmú kukta CE szabványoknak megfelelő specifikációkkal rendelkezik, 18/8-as (SS 304) rozsdamentes acélból készült 1mm-es falvastagsággal. A fedél anyaga 1,2mm-es vastag rozsdamentes acél, míg az alját rozsdamentes acélból és alumíniumból álló háromrétegű, 4,5mm vastagságú anyag képezi, ami kiváló hőelosztást biztosít.
A szilikon tömítőgyűrűvel ellátott kukta belsejében található űrtartalom-skála fél literes léptékekkel van megjelölve a maximális űrtartalomig. A nyomásszabályozó szelep két különböző nyomásszintet kínál működés közben, az első szint 60kPa±10%, míg a második szint 100kPa±10%. A kukta ergonomikus bakelit fogantyúkkal van ellátva, amelyek biztonságos fogást és szállítást tesznek lehetővé.
A kukta három alternatív biztonsági rendszerrel rendelkezik: egy nyomásszabályozó szelep (két nyomásszinttel), egy gőzkiengedő szelep és egy biztonsági ablak. A maximális biztonsági határértékek a következők: 1. szint: 60-100kPa (nyomásszabályozó szelep), 2. szint: 120-160kPa (gőzkiengedő biztonsági szelep), 3. szint: 180-300kPa (biztonsági ablak).
A kuktát minden típusú tűzhelyen használhatja, átmérője 22 cm, aljának átmérője 19,5 cm, a maximális belső nyomás pedig 360kPa. A fedél biztonsági funkciói közé tartozik, hogy 4kPa feletti belső nyomás esetén nem nyitható ki, míg 4kPa alatti belső nyomásnál nem növelhető a nyomás, ha a fedél nem megfelelően van lezárva.
Figyelem: Ez a kukta kizárólag kis mennyiségű étel elkészítésére szolgál kizárólag magánháztartásokban, és nem alkalmas professzionális használatra.
Főzzön gyorsan, egészségesen és kényelmesen a Nava Acer rozsdamentes acél kuktával, amely konyhájának elengedhetetlen társa lesz. Fedezze fel a gyors főzés minden előnyét, és élvezze az ízletes, tápanyagban gazdag ételeket nap mint nap!</t>
        </is>
      </c>
    </row>
    <row r="411">
      <c r="A411" s="3" t="inlineStr">
        <is>
          <t>10-144-130</t>
        </is>
      </c>
      <c r="B411" s="2" t="inlineStr">
        <is>
          <t>Nava 10-144-130 Nature tapadásmentes pecsenyesütő, kőbevonattal, hőálló fogantyú, üvegfedő, 28 cm</t>
        </is>
      </c>
      <c r="C411" s="1" t="n">
        <v>15790.0</v>
      </c>
      <c r="D411" s="7" t="n">
        <f>HYPERLINK("https://www.somogyi.hu/product/nava-10-144-130-nature-tapadasmentes-pecsenyesuto-kobevonattal-hoallo-fogantyu-uvegfedo-28-cm-10-144-130-17682","https://www.somogyi.hu/product/nava-10-144-130-nature-tapadasmentes-pecsenyesuto-kobevonattal-hoallo-fogantyu-uvegfedo-28-cm-10-144-130-17682")</f>
        <v>0.0</v>
      </c>
      <c r="E411" s="7" t="n">
        <f>HYPERLINK("https://www.somogyi.hu/data/img/product_main_images/small/17682.jpg","https://www.somogyi.hu/data/img/product_main_images/small/17682.jpg")</f>
        <v>0.0</v>
      </c>
      <c r="F411" s="2" t="inlineStr">
        <is>
          <t>5205746087567</t>
        </is>
      </c>
      <c r="G411" s="4" t="inlineStr">
        <is>
          <t>Szeretne könnyedén ínycsiklandó pecsenyéket készíteni otthon? A Nava 10-144-130 Nature tapadásmentes pecsenyesütő ideális választás, hogy minden alkalommal tökéletes eredményt érjen el a konyhában. 
Ez a 28 cm átmérőjű pecsenyesütő tapadásmentes kőbevonattal rendelkezik, amely biztosítja, hogy az ételek ne ragadjanak le, és könnyedén tisztítható legyen.
A pecsenyesütő indukciós főzőlapon is használható, így bármilyen típusú tűzhelyen megállja a helyét. Az üveg fedő lehetővé teszi, hogy főzés közben is nyomon kövesse az étel állapotát anélkül, hogy hőt veszítene. Emellett a sütő mosogatógépben is mosható, így a tisztítása gyors és egyszerű.
Válassza a Nava 10-144-130 Nature tapadásmentes pecsenyesütőt, hogy minden főzési élmény tökéletes legyen! Rendelje meg most, és élvezze a könnyed főzést és a finom ételek elkészítését minden nap!</t>
        </is>
      </c>
    </row>
    <row r="412">
      <c r="A412" s="3" t="inlineStr">
        <is>
          <t>10-255-030</t>
        </is>
      </c>
      <c r="B412" s="2" t="inlineStr">
        <is>
          <t>Nava 10-255-030 Ωmega tapadásmentes öntött alumínium lábas fedővel, kőbevonattal, 20 cm</t>
        </is>
      </c>
      <c r="C412" s="1" t="n">
        <v>15990.0</v>
      </c>
      <c r="D412" s="7" t="n">
        <f>HYPERLINK("https://www.somogyi.hu/product/nava-10-255-030-mega-tapadasmentes-ontott-aluminium-labas-fedovel-kobevonattal-20-cm-10-255-030-18629","https://www.somogyi.hu/product/nava-10-255-030-mega-tapadasmentes-ontott-aluminium-labas-fedovel-kobevonattal-20-cm-10-255-030-18629")</f>
        <v>0.0</v>
      </c>
      <c r="E412" s="7" t="n">
        <f>HYPERLINK("https://www.somogyi.hu/data/img/product_main_images/small/18629.jpg","https://www.somogyi.hu/data/img/product_main_images/small/18629.jpg")</f>
        <v>0.0</v>
      </c>
      <c r="F412" s="2" t="inlineStr">
        <is>
          <t>5205746159851</t>
        </is>
      </c>
      <c r="G412" s="4" t="inlineStr">
        <is>
          <t>Szeretne egy lábast, ami gyorsan felmelegszik és hosszú ideig tartja a hőt, miközben energiát takaríthat meg? A Nava 10-255-030 Ωmega tapadásmentes öntött alumínium lábas fedővel öt rétegű kőhatású tapadásmentes bevonattal rendelkezik, amely modern, időtálló designnal ötvözi az kiváló hővezető képességeket. 
Gyors felmelegedés és hőmegörzés jellemzi, ami egyenletes, egészséges és finom étel elkészítését teszi lehetővé alacsony hőmérsékleten, energiát megtakarítva.
Az öntött alumíniumból készült, 20 cm átmérőjű masszív kialakítású, nehéz aljjal rendelkező lábas tökéletesen illeszkedik a főzőlapra, így a hő egyenletesen oszlik el a lábas teljes felületén, kiemelkedő eredményeket biztosítva. Az öt rétegű, minőségi tapadásmentes belső bevonat hosszú távú tartósságot biztosít a mindennapi használat során, míg az erősített külső felület ellenáll a karcolásoknak, és sima felülete garantálja a könnyű tisztítást.
A különlegesen tervezett ergonomikus, hőálló soft touch markolatok kényelmes és biztonságos fogást nyújtanak, megvédenek a magas hőmérséklettől. A gyártási folyamat alacsony szén-dioxid-lábnyomot eredményez, és kizárja a PFOA-t. Minden típusú tűzhelyen használható: gáz, elektromos, kerámia, halogén és indukciós. Mosogatógépben mosható. A tapadásmentes bevonat megfelel az élelmiszerrel érintkező anyagokra vonatkozó előírásoknak.
Néhány tipp, hogy sokáig és biztonságosan használhassa a terméket:
* Az első használat előtt mossa el a lábast langyos, szappanos vízzel és puha szivaccsal.
* Minden használat előtt kenje be a lábas belső felületét olajjal vagy vajjal.
* Ne hevítse túl a lábast üresen, és vegye le a tűzhelyről, mielőtt a tartalma teljesen elpárologna.
* Alacsony vagy közepes hő elegendő a legjobb sütési eredmények eléréséhez.
* A lábas kapacitásának több mint 2/3-ával ne töltse meg, hogy elkerülje a túlcsordulást.
* A lábas ellenáll a hirtelen hőmérséklet-változásnak. Hosszabb élettartam érdekében hagyja lehűlni, majd mosogassa langyos, szappanos vízzel és puha szivaccsal.
* Fa, műanyag vagy szilikon konyhai eszközök használata javasolt a tapadásmentes bevonat élettartamának meghosszabbítása érdekében.
* Éles eszközökkel soha ne vágja az ételt a lábasban.
* Olyan tűzhelyet használjon, amelynek mérete egyenlő vagy kisebb, mint a lábas alja.
* Ne hevítse túl a zsiradékot vagy olajat, ne füstöljön, égjen vagy feketedjen meg.
* Fém szivacsok, drót vagy erős tisztítószerek használata nem ajánlott.
Fedezze fel a Nava Ωmega tapadásmentes öntött alumínium lábas nyújtotta kivételes főzési élményt!</t>
        </is>
      </c>
    </row>
    <row r="413">
      <c r="A413" s="3" t="inlineStr">
        <is>
          <t>10-144-120</t>
        </is>
      </c>
      <c r="B413" s="2" t="inlineStr">
        <is>
          <t>Nava 10-144-120 Nature tapadásmentes lábas, kőbevonattal, hőálló fogantyú, üvegfedő, 20 cm</t>
        </is>
      </c>
      <c r="C413" s="1" t="n">
        <v>12690.0</v>
      </c>
      <c r="D413" s="7" t="n">
        <f>HYPERLINK("https://www.somogyi.hu/product/nava-10-144-120-nature-tapadasmentes-labas-kobevonattal-hoallo-fogantyu-uvegfedo-20-cm-10-144-120-17680","https://www.somogyi.hu/product/nava-10-144-120-nature-tapadasmentes-labas-kobevonattal-hoallo-fogantyu-uvegfedo-20-cm-10-144-120-17680")</f>
        <v>0.0</v>
      </c>
      <c r="E413" s="7" t="n">
        <f>HYPERLINK("https://www.somogyi.hu/data/img/product_main_images/small/17680.jpg","https://www.somogyi.hu/data/img/product_main_images/small/17680.jpg")</f>
        <v>0.0</v>
      </c>
      <c r="F413" s="2" t="inlineStr">
        <is>
          <t>5205746087048</t>
        </is>
      </c>
      <c r="G413" s="4" t="inlineStr">
        <is>
          <t>Egy lábast keres, amelyikkel egészségesen és hatékonyan készítheti el kedvenc ételeit? Fedezze fel a 20cm átmérőjű Nava 10-144-120 Nature tapadásmentes lábast, amely kiváló minőségű alumíniumból készült, és öt rétegű, tapadásmentes kőbevonattal rendelkezik.
A kiváló és tartós tapadásmentes bevonat nagy ellenállást biztosít a karcolásokkal és a magas hőmérsékletekkel szemben. A gyártás során kis szén-dioxid-kibocsátású eljárásokat alkalmaznak, és a PFOA-t kiiktatják. Az öt rétegű tapadásmentes belső bevonat hosszú tartósságot biztosít a mindennapos használathoz, és tökéletes, egészséges főzési élményt garantál úgy, mintha természetes kövön sütne vagy főzne. A csúszásmentes, ergonomikus, fa mintázatú fogantyú még órákig tartó főzés után is hűvös marad, és könnyű használatot tesz lehetővé. A Nava Nature lábas hirtelen hőmérséklet-változásoknak ellenáll, és nagyon könnyen tisztítható.
Minden tűzhelytípushoz alkalmas: gáz, elektromos, kerámia, halogén és indukciós. Aljának átmérője 14cm, űrtartalma 2 liter. Mosogatógépben is tisztítható.
Használat előtt mosogassa el a lábast meleg, szappanos vízzel és puha szivaccsal. Minden használat előtt kenje be a lábas belső felületét olajjal vagy vajjal. Ne hevítse túl a lábast üresen, és távolítsa el a tűzhelyről, mielőtt a tartalma elpárologna. Alacsony vagy közepes hő elegendő a legjobb főzési eredmények eléréséhez. A lábas hirtelen hőmérséklet-változásoknak ellenáll. Hosszabb élettartam érdekében hagyja lehűlni, majd mosogassa meleg, szappanos vízzel és puha szivaccsal. Használjon fa, műanyag vagy szilikon konyhai eszközöket a tapadásmentes bevonat élettartamának meghosszabbítása érdekében. Soha ne vágja az ételt éles eszközökkel a lábasban. Használjon olyan tűzhelyet, amely azonos méretű vagy kisebb, mint a lábas alja. Ne hevítse túl a zsírt vagy az olajat füstölésig, égésig. Ne használjon fémszivacsokat, drótot vagy erős tisztítószereket. A tapadásmentes bevonat megfelel az élelmiszerrel való érintkezésre vonatkozó előírásoknak.
A Nava Nature lábas nem csak a konyhájának praktikus kiegészítője, hanem hosszú távon megbízható társa is lesz az egészséges és ízletes ételek elkészítésében. Ne várjon tovább, tegye meg az első lépést a minőségi és ízletes főzés felé még ma!</t>
        </is>
      </c>
    </row>
    <row r="414">
      <c r="A414" s="3" t="inlineStr">
        <is>
          <t>10-255-033</t>
        </is>
      </c>
      <c r="B414" s="2" t="inlineStr">
        <is>
          <t>Nava 10-255-033 Ωmega tapadásmentes öntött alumínium lábas fedővel, kőbevonattal, 28 cm</t>
        </is>
      </c>
      <c r="C414" s="1" t="n">
        <v>24790.0</v>
      </c>
      <c r="D414" s="7" t="n">
        <f>HYPERLINK("https://www.somogyi.hu/product/nava-10-255-033-mega-tapadasmentes-ontott-aluminium-labas-fedovel-kobevonattal-28-cm-10-255-033-18631","https://www.somogyi.hu/product/nava-10-255-033-mega-tapadasmentes-ontott-aluminium-labas-fedovel-kobevonattal-28-cm-10-255-033-18631")</f>
        <v>0.0</v>
      </c>
      <c r="E414" s="7" t="n">
        <f>HYPERLINK("https://www.somogyi.hu/data/img/product_main_images/small/18631.jpg","https://www.somogyi.hu/data/img/product_main_images/small/18631.jpg")</f>
        <v>0.0</v>
      </c>
      <c r="F414" s="2" t="inlineStr">
        <is>
          <t>5205746159981</t>
        </is>
      </c>
      <c r="G414" s="4" t="inlineStr">
        <is>
          <t>Szeretne egy lábast, ami gyorsan felmelegszik és hosszú ideig tartja a hőt, miközben energiát takaríthat meg? A Nava 10-255-033 Ωmega tapadásmentes öntött alumínium lábas fedővel öt rétegű kőhatású tapadásmentes bevonattal rendelkezik, amely modern, időtálló designnal ötvözi az kiváló hővezető képességeket. 
Gyors felmelegedés és hőmegörzés jellemzi, ami egyenletes, egészséges és finom étel elkészítését teszi lehetővé alacsony hőmérsékleten, energiát megtakarítva.
Az öntött alumíniumból készült, 28 cm átmérőjű masszív kialakítású, nehéz aljjal rendelkező lábas tökéletesen illeszkedik a főzőlapra, így a hő egyenletesen oszlik el a lábas teljes felületén, kiemelkedő eredményeket biztosítva. Az öt rétegű, minőségi tapadásmentes belső bevonat hosszú távú tartósságot biztosít a mindennapi használat során, míg az erősített külső felület ellenáll a karcolásoknak, és sima felülete garantálja a könnyű tisztítást.
A különlegesen tervezett ergonomikus, hőálló soft touch markolatok kényelmes és biztonságos fogást nyújtanak, megvédenek a magas hőmérséklettől. A gyártási folyamat alacsony szén-dioxid-lábnyomot eredményez, és kizárja a PFOA-t. Minden típusú tűzhelyen használható: gáz, elektromos, kerámia, halogén és indukciós. Mosogatógépben mosható. A tapadásmentes bevonat megfelel az élelmiszerrel érintkező anyagokra vonatkozó előírásoknak.
Néhány tipp, hogy sokáig és biztonságosan használhassa a terméket:
* Az első használat előtt mossa el a lábast langyos, szappanos vízzel és puha szivaccsal.
* Minden használat előtt kenje be a lábas belső felületét olajjal vagy vajjal.
* Ne hevítse túl a lábast üresen, és vegye le a tűzhelyről, mielőtt a tartalma teljesen elpárologna.
* Alacsony vagy közepes hő elegendő a legjobb sütési eredmények eléréséhez.
* A lábas kapacitásának több mint 2/3-ával ne töltse meg, hogy elkerülje a túlcsordulást.
* A lábas ellenáll a hirtelen hőmérséklet-változásnak. Hosszabb élettartam érdekében hagyja lehűlni, majd mosogassa langyos, szappanos vízzel és puha szivaccsal.
* Fa, műanyag vagy szilikon konyhai eszközök használata javasolt a tapadásmentes bevonat élettartamának meghosszabbítása érdekében.
* Éles eszközökkel soha ne vágja az ételt a lábasban.
* Olyan tűzhelyet használjon, amelynek mérete egyenlő vagy kisebb, mint a lábas alja.
* Ne hevítse túl a zsiradékot vagy olajat, ne füstöljön, égjen vagy feketedjen meg.
* Fém szivacsok, drót vagy erős tisztítószerek használata nem ajánlott.
Fedezze fel a Nava Ωmega tapadásmentes öntött alumínium lábas nyújtotta kivételes főzési élményt!</t>
        </is>
      </c>
    </row>
    <row r="415">
      <c r="A415" s="3" t="inlineStr">
        <is>
          <t>10-144-121</t>
        </is>
      </c>
      <c r="B415" s="2" t="inlineStr">
        <is>
          <t>Nava 10-144-121 Nature tapadásmentes lábas, kőbevonattal, hőálló fogantyú, üvegfedő, 24 cm</t>
        </is>
      </c>
      <c r="C415" s="1" t="n">
        <v>17190.0</v>
      </c>
      <c r="D415" s="7" t="n">
        <f>HYPERLINK("https://www.somogyi.hu/product/nava-10-144-121-nature-tapadasmentes-labas-kobevonattal-hoallo-fogantyu-uvegfedo-24-cm-10-144-121-18616","https://www.somogyi.hu/product/nava-10-144-121-nature-tapadasmentes-labas-kobevonattal-hoallo-fogantyu-uvegfedo-24-cm-10-144-121-18616")</f>
        <v>0.0</v>
      </c>
      <c r="E415" s="7" t="n">
        <f>HYPERLINK("https://www.somogyi.hu/data/img/product_main_images/small/18616.jpg","https://www.somogyi.hu/data/img/product_main_images/small/18616.jpg")</f>
        <v>0.0</v>
      </c>
      <c r="F415" s="2" t="inlineStr">
        <is>
          <t>5205746087291</t>
        </is>
      </c>
      <c r="G415" s="4" t="inlineStr">
        <is>
          <t>Egy lábast keres, amelyikkel egészségesen és hatékonyan készítheti el kedvenc ételeit? Fedezze fel a 24cm átmérőjű Nava 10-144-121 Nature tapadásmentes lábast, amely kiváló minőségű alumíniumból készült, és öt rétegű, tapadásmentes kőbevonattal rendelkezik.
A kiváló és tartós tapadásmentes bevonat nagy ellenállást biztosít a karcolásokkal és a magas hőmérsékletekkel szemben. A gyártás során kis szén-dioxid-kibocsátású eljárásokat alkalmaznak, és a PFOA-t kiiktatják. Az öt rétegű tapadásmentes belső bevonat hosszú tartósságot biztosít a mindennapos használathoz, és tökéletes, egészséges főzési élményt garantál úgy, mintha természetes kövön sütne vagy főzne. A csúszásmentes, ergonomikus, fa mintázatú fogantyú még órákig tartó főzés után is hűvös marad, és könnyű használatot tesz lehetővé. A Nava Nature lábas hirtelen hőmérséklet-változásoknak ellenáll, és nagyon könnyen tisztítható.
Minden tűzhelytípushoz alkalmas: gáz, elektromos, kerámia, halogén és indukciós. Aljának átmérője 18cm, űrtartalma 4,5 liter. Mosogatógépben is tisztítható.
Használat előtt mosogassa el a lábast meleg, szappanos vízzel és puha szivaccsal. Minden használat előtt kenje be a lábas belső felületét olajjal vagy vajjal. Ne hevítse túl a lábast üresen, és távolítsa el a tűzhelyről, mielőtt a tartalma elpárologna. Alacsony vagy közepes hő elegendő a legjobb főzési eredmények eléréséhez. A lábas hirtelen hőmérséklet-változásoknak ellenáll. Hosszabb élettartam érdekében hagyja lehűlni, majd mosogassa meleg, szappanos vízzel és puha szivaccsal. Használjon fa, műanyag vagy szilikon konyhai eszközöket a tapadásmentes bevonat élettartamának meghosszabbítása érdekében. Soha ne vágja az ételt éles eszközökkel a lábasban. Használjon olyan tűzhelyet, amely azonos méretű vagy kisebb, mint a lábas alja. Ne hevítse túl a zsírt vagy az olajat füstölésig, égésig. Ne használjon fémszivacsokat, drótot vagy erős tisztítószereket. A tapadásmentes bevonat megfelel az élelmiszerrel való érintkezésre vonatkozó előírásoknak.
A Nava Nature lábas nem csak a konyhájának praktikus kiegészítője, hanem hosszú távon megbízható társa is lesz az egészséges és ízletes ételek elkészítésében. Ne várjon tovább, tegye meg az első lépést a minőségi és ízletes főzés felé még ma!</t>
        </is>
      </c>
    </row>
    <row r="416">
      <c r="A416" s="3" t="inlineStr">
        <is>
          <t>10-144-122</t>
        </is>
      </c>
      <c r="B416" s="2" t="inlineStr">
        <is>
          <t>Nava 10-144-122 Nature tapadásmentes lábas, kőbevonattal, hőálló fogantyú, üvegfedő, 28 cm</t>
        </is>
      </c>
      <c r="C416" s="1" t="n">
        <v>18990.0</v>
      </c>
      <c r="D416" s="7" t="n">
        <f>HYPERLINK("https://www.somogyi.hu/product/nava-10-144-122-nature-tapadasmentes-labas-kobevonattal-hoallo-fogantyu-uvegfedo-28-cm-10-144-122-17681","https://www.somogyi.hu/product/nava-10-144-122-nature-tapadasmentes-labas-kobevonattal-hoallo-fogantyu-uvegfedo-28-cm-10-144-122-17681")</f>
        <v>0.0</v>
      </c>
      <c r="E416" s="7" t="n">
        <f>HYPERLINK("https://www.somogyi.hu/data/img/product_main_images/small/17681.jpg","https://www.somogyi.hu/data/img/product_main_images/small/17681.jpg")</f>
        <v>0.0</v>
      </c>
      <c r="F416" s="2" t="inlineStr">
        <is>
          <t>5205746087222</t>
        </is>
      </c>
      <c r="G416" s="4" t="inlineStr">
        <is>
          <t>Egy lábast keres, amelyikkel egészségesen és hatékonyan készítheti el kedvenc ételeit? Fedezze fel a 28cm átmérőjű Nava 10-144-122 Nature tapadásmentes lábast, amely kiváló minőségű alumíniumból készült, és öt rétegű, tapadásmentes kőbevonattal rendelkezik.
A kiváló és tartós tapadásmentes bevonat nagy ellenállást biztosít a karcolásokkal és a magas hőmérsékletekkel szemben. A gyártás során kis szén-dioxid-kibocsátású eljárásokat alkalmaznak, és a PFOA-t kiiktatják. Az öt rétegű tapadásmentes belső bevonat hosszú tartósságot biztosít a mindennapos használathoz, és tökéletes, egészséges főzési élményt garantál úgy, mintha természetes kövön sütne vagy főzne. A csúszásmentes, ergonomikus, fa mintázatú fogantyú még órákig tartó főzés után is hűvös marad, és könnyű használatot tesz lehetővé. A Nava Nature lábas hirtelen hőmérséklet-változásoknak ellenáll, és nagyon könnyen tisztítható.
Minden tűzhelytípushoz alkalmas: gáz, elektromos, kerámia, halogén és indukciós. Aljának átmérője 19cm, űrtartalma 6,6 liter. Mosogatógépben is tisztítható.
Használat előtt mosogassa el a lábast meleg, szappanos vízzel és puha szivaccsal. Minden használat előtt kenje be a lábas belső felületét olajjal vagy vajjal. Ne hevítse túl a lábast üresen, és távolítsa el a tűzhelyről, mielőtt a tartalma elpárologna. Alacsony vagy közepes hő elegendő a legjobb főzési eredmények eléréséhez. A lábas hirtelen hőmérséklet-változásoknak ellenáll. Hosszabb élettartam érdekében hagyja lehűlni, majd mosogassa meleg, szappanos vízzel és puha szivaccsal. Használjon fa, műanyag vagy szilikon konyhai eszközöket a tapadásmentes bevonat élettartamának meghosszabbítása érdekében. Soha ne vágja az ételt éles eszközökkel a lábasban. Használjon olyan tűzhelyet, amely azonos méretű vagy kisebb, mint a lábas alja. Ne hevítse túl a zsírt vagy az olajat füstölésig, égésig. Ne használjon fémszivacsokat, drótot vagy erős tisztítószereket. A tapadásmentes bevonat megfelel az élelmiszerrel való érintkezésre vonatkozó előírásoknak.
A Nava Nature lábas nem csak a konyhájának praktikus kiegészítője, hanem hosszú távon megbízható társa is lesz az egészséges és ízletes ételek elkészítésében. Ne várjon tovább, tegye meg az első lépést a minőségi és ízletes főzés felé még ma!</t>
        </is>
      </c>
    </row>
    <row r="417">
      <c r="A417" s="3" t="inlineStr">
        <is>
          <t>10-255-031</t>
        </is>
      </c>
      <c r="B417" s="2" t="inlineStr">
        <is>
          <t>Nava 10-255-031 Ωmega tapadásmentes öntött alumínium lábas fedővel, kőbevonattal, 24 cm</t>
        </is>
      </c>
      <c r="C417" s="1" t="n">
        <v>19490.0</v>
      </c>
      <c r="D417" s="7" t="n">
        <f>HYPERLINK("https://www.somogyi.hu/product/nava-10-255-031-mega-tapadasmentes-ontott-aluminium-labas-fedovel-kobevonattal-24-cm-10-255-031-18630","https://www.somogyi.hu/product/nava-10-255-031-mega-tapadasmentes-ontott-aluminium-labas-fedovel-kobevonattal-24-cm-10-255-031-18630")</f>
        <v>0.0</v>
      </c>
      <c r="E417" s="7" t="n">
        <f>HYPERLINK("https://www.somogyi.hu/data/img/product_main_images/small/18630.jpg","https://www.somogyi.hu/data/img/product_main_images/small/18630.jpg")</f>
        <v>0.0</v>
      </c>
      <c r="F417" s="2" t="inlineStr">
        <is>
          <t>5205746160611</t>
        </is>
      </c>
      <c r="G417" s="4" t="inlineStr">
        <is>
          <t>Szeretne egy lábast, ami gyorsan felmelegszik és hosszú ideig tartja a hőt, miközben energiát takaríthat meg? A Nava 10-255-031 Ωmega tapadásmentes öntött alumínium lábas fedővel öt rétegű kőhatású tapadásmentes bevonattal rendelkezik, amely modern, időtálló designnal ötvözi az kiváló hővezető képességeket. 
Gyors felmelegedés és hőmegörzés jellemzi, ami egyenletes, egészséges és finom étel elkészítését teszi lehetővé alacsony hőmérsékleten, energiát megtakarítva.
Az öntött alumíniumból készült, 24 cm átmérőjű masszív kialakítású, nehéz aljjal rendelkező lábas tökéletesen illeszkedik a főzőlapra, így a hő egyenletesen oszlik el a lábas teljes felületén, kiemelkedő eredményeket biztosítva. Az öt rétegű, minőségi tapadásmentes belső bevonat hosszú távú tartósságot biztosít a mindennapi használat során, míg az erősített külső felület ellenáll a karcolásoknak, és sima felülete garantálja a könnyű tisztítást.
A különlegesen tervezett ergonomikus, hőálló soft touch markolatok kényelmes és biztonságos fogást nyújtanak, megvédenek a magas hőmérséklettől. A gyártási folyamat alacsony szén-dioxid-lábnyomot eredményez, és kizárja a PFOA-t. Minden típusú tűzhelyen használható: gáz, elektromos, kerámia, halogén és indukciós. Mosogatógépben mosható. A tapadásmentes bevonat megfelel az élelmiszerrel érintkező anyagokra vonatkozó előírásoknak.
Néhány tipp, hogy sokáig és biztonságosan használhassa a terméket:
* Az első használat előtt mossa el a lábast langyos, szappanos vízzel és puha szivaccsal.
* Minden használat előtt kenje be a lábas belső felületét olajjal vagy vajjal.
* Ne hevítse túl a lábast üresen, és vegye le a tűzhelyről, mielőtt a tartalma teljesen elpárologna.
* Alacsony vagy közepes hő elegendő a legjobb sütési eredmények eléréséhez.
* A lábas kapacitásának több mint 2/3-ával ne töltse meg, hogy elkerülje a túlcsordulást.
* A lábas ellenáll a hirtelen hőmérséklet-változásnak. Hosszabb élettartam érdekében hagyja lehűlni, majd mosogassa langyos, szappanos vízzel és puha szivaccsal.
* Fa, műanyag vagy szilikon konyhai eszközök használata javasolt a tapadásmentes bevonat élettartamának meghosszabbítása érdekében.
* Éles eszközökkel soha ne vágja az ételt a lábasban.
* Olyan tűzhelyet használjon, amelynek mérete egyenlő vagy kisebb, mint a lábas alja.
* Ne hevítse túl a zsiradékot vagy olajat, ne füstöljön, égjen vagy feketedjen meg.
* Fém szivacsok, drót vagy erős tisztítószerek használata nem ajánlott.
Fedezze fel a Nava Ωmega tapadásmentes öntött alumínium lábas nyújtotta kivételes főzési élményt!</t>
        </is>
      </c>
    </row>
    <row r="418">
      <c r="A418" s="3" t="inlineStr">
        <is>
          <t>10-053-001</t>
        </is>
      </c>
      <c r="B418" s="2" t="inlineStr">
        <is>
          <t>Nava 10-053-001 ovális zománcozott kacsasütő, 42 cm</t>
        </is>
      </c>
      <c r="C418" s="1" t="n">
        <v>10690.0</v>
      </c>
      <c r="D418" s="7" t="n">
        <f>HYPERLINK("https://www.somogyi.hu/product/nava-10-053-001-ovalis-zomancozott-kacsasuto-42-cm-10-053-001-18635","https://www.somogyi.hu/product/nava-10-053-001-ovalis-zomancozott-kacsasuto-42-cm-10-053-001-18635")</f>
        <v>0.0</v>
      </c>
      <c r="E418" s="7" t="n">
        <f>HYPERLINK("https://www.somogyi.hu/data/img/product_main_images/small/18635.jpg","https://www.somogyi.hu/data/img/product_main_images/small/18635.jpg")</f>
        <v>0.0</v>
      </c>
      <c r="F418" s="2" t="inlineStr">
        <is>
          <t>5205746866735</t>
        </is>
      </c>
      <c r="G418" s="4" t="inlineStr">
        <is>
          <t>Kíváncsi rá, hogyan varázsolhat ízletes és egyenletesen sült ételeket otthonában? A Nava 10-053-001 ovális zománcozott kacsasütővel mindez gyerekjáték!
Ez a kiváló minőségű (42 cm hosszú, 32 cm széles, 19 cm magas és 6 literes űrtartalmú), fedéllel ellátott zománcozott sütő tökéletes választás. A zománc anyaga gyorsan felmelegszik és lassan hűl le, így hosszabb ideig melegen tartja az elkészült ételeket. Biztosítja az egyenletes hőeloszlást a sütés során, nagy ellenállást mutat a karcolásokkal és a magas hőmérséklettel szemben, könnyű, így egyszerűen hordozható és tisztítható.
Néhány tipp, hogy sokáig használhassa a terméket:
* Az első használat előtt mosogassa el a sütőt meleg, szappanos vízzel és puha szivaccsal
* Minden használat előtt kenje be a sütő belső felületét olajjal vagy vajjal
* Ne hevítse túl az üres sütőt
* Alacsony vagy közepes hőmérséklet elegendő a legjobb sütési eredmények eléréséhez. A maximális hőmérséklet ne haladja meg a 230°C-t
* Ne töltse a sütőt annál többel, mint annak 2/3-a, hogy elkerülje a túlcsordulást
* Hagyja a sütőt lehűlni, majd mosogassa el meleg, szappanos vízzel és puha szivaccsal
* Használjon fa, műanyag vagy szilikon konyhai eszközöket a tapadásmentes bevonat hosszabb élettartama érdekében
* Soha ne vágjon ételeket a sütőben éles eszközökkel
* Kerülje a savas összetevők (pl. paradicsomszósz, citruslé) használatát
* Kerülje azokat az összetevőket, amelyek megfoghatják a sütőt, mint például a sáfrány, a kurkuma stb. Az említett vagy hasonló összetevők által okozott színelváltozások nem tekinthetők hibának, mivel nem befolyásolják a sütő minőségét és nem termelnek az emberi szervezet számára toxikus vagy más veszélyes anyagokat
* A sütőpapír használata meghosszabbítja a sütő és a tapadásmentes bevonat élettartamát
* Kézi mosogatás ajánlott a sütő hosszabb élettartama érdekében
* Kerülje a fém szivacsok, drótok vagy erős tisztítószerek használatát
A tapadásmentes bevonat megfelel az élelmiszerekkel érintkező anyagokra vonatkozó előírásoknak.
Méreteivel ez a sütő ideális választás nagyobb családi összejövetelekhez vagy baráti vacsorákhoz. Fedezze fel a Nava ovális zománcozott kacsasütő nyújtotta lehetőségeket, és élvezze a kényelmes, egészséges és ízletes sütés minden előnyét!</t>
        </is>
      </c>
    </row>
    <row r="419">
      <c r="A419" s="6" t="inlineStr">
        <is>
          <t xml:space="preserve">   Háztartási gép, eszköz / Tepsi, sütőforma</t>
        </is>
      </c>
      <c r="B419" s="6" t="inlineStr">
        <is>
          <t/>
        </is>
      </c>
      <c r="C419" s="6" t="inlineStr">
        <is>
          <t/>
        </is>
      </c>
      <c r="D419" s="6" t="inlineStr">
        <is>
          <t/>
        </is>
      </c>
      <c r="E419" s="6" t="inlineStr">
        <is>
          <t/>
        </is>
      </c>
      <c r="F419" s="6" t="inlineStr">
        <is>
          <t/>
        </is>
      </c>
      <c r="G419" s="6" t="inlineStr">
        <is>
          <t/>
        </is>
      </c>
    </row>
    <row r="420">
      <c r="A420" s="3" t="inlineStr">
        <is>
          <t>10-103-171</t>
        </is>
      </c>
      <c r="B420" s="2" t="inlineStr">
        <is>
          <t>Nava 10-103-171 Terrestrial tapadásmentes kerámia bevonatú sütőtál, 40x28 cm</t>
        </is>
      </c>
      <c r="C420" s="1" t="n">
        <v>8390.0</v>
      </c>
      <c r="D420" s="7" t="n">
        <f>HYPERLINK("https://www.somogyi.hu/product/nava-10-103-171-terrestrial-tapadasmentes-keramia-bevonatu-sutotal-40x28-cm-10-103-171-18633","https://www.somogyi.hu/product/nava-10-103-171-terrestrial-tapadasmentes-keramia-bevonatu-sutotal-40x28-cm-10-103-171-18633")</f>
        <v>0.0</v>
      </c>
      <c r="E420" s="7" t="n">
        <f>HYPERLINK("https://www.somogyi.hu/data/img/product_main_images/small/18633.jpg","https://www.somogyi.hu/data/img/product_main_images/small/18633.jpg")</f>
        <v>0.0</v>
      </c>
      <c r="F420" s="2" t="inlineStr">
        <is>
          <t>5205746152920</t>
        </is>
      </c>
      <c r="G420" s="4" t="inlineStr">
        <is>
          <t>Ön is szeretné elkápráztatni sütőtudományával családját, barátait? Fedezze fel a Nava 10-103-171 Terrestrial tapadásmentes kerámia bevonatú sütőtálját, mely a tökéletes segítőtárs lesz a konyhában!
Ez a kiváló minőségű sütőtál (melynek hossza 40 cm, szélessége 28 cm, magassága 7 cm) szénacélból készült, ami egyenletes hőeloszlást biztosít, így garantálva a tökéletes sütési eredményeket. A tapadásmentes kerámia bevonat könnyűvé teszi az ételek eltávolítását a tálból, és egyszerűvé a tisztítást használat után.
Néhány tipp, hogy sokáig használhassa a terméket:
* Az első használat előtt alaposan mossa el a sütőtálat meleg, szappanos vízzel és puha szivaccsal
* Minden használat előtt kenje be a tál belső felületét olajjal vagy vajjal.
* Ne hevítse túl a sütőtálat, ha az üres.
* Alacsony vagy közepes hőfok elegendő a legjobb sütési eredmények eléréséhez. A maximális hőmérséklet ne haladja meg a 230°C-t.
* Ne töltse a tálat annál többel, mint annak 2/3-a, hogy elkerülje a túlcsordulást.
* Hagyja a sütőtálat hűlni, majd mosogassa el meleg, szappanos vízzel és puha szivaccsal.
* Csak fa, műanyag vagy szilikon konyhai eszközöket használjon a tapadásmentes bevonat élettartamának meghosszabbítása érdekében.
* Soha ne vágjon ételeket a sütőtálban éles eszközökkel.
* Savas összetevők használata (pl. paradicsomlé, citruslé) nem ajánlott.
* A sütőpapír használata meghosszabbítja a sütőtál és a tapadásmentes bevonat élettartamát.
* Kézi mosás preferálása biztosítja a sütőtál hosszabb élettartamát.
* Kerülje a fém szivacsok, drótok vagy erős tisztítószerek használatát.
A tapadásmentes bevonat megfelel az élelmiszerekkel érintkezésbe kerülő anyagokra vonatkozó előírásoknak.
Méreteivel ez a sütőtál tökéletes választás akár 8 személy részére is. Legyen szó húsokról, zöldségekről vagy édességekről, a Nava Terrestrial sütőtál minden igényt kielégít. Ne hagyja ki a lehetőséget, hogy ezzel a sütőtállal fokozza konyhai élményeit!</t>
        </is>
      </c>
    </row>
    <row r="421">
      <c r="A421" s="3" t="inlineStr">
        <is>
          <t>0147-320</t>
        </is>
      </c>
      <c r="B421" s="2" t="inlineStr">
        <is>
          <t>Pedrini 0147-320 sajt- és dióreszelő, rozsdamentes acél dob, mosogatógépben is mosható, olasz minőség</t>
        </is>
      </c>
      <c r="C421" s="1" t="n">
        <v>6590.0</v>
      </c>
      <c r="D421" s="7" t="n">
        <f>HYPERLINK("https://www.somogyi.hu/product/pedrini-0147-320-sajt-es-dioreszelo-rozsdamentes-acel-dob-mosogatogepben-is-moshato-olasz-minoseg-0147-320-18086","https://www.somogyi.hu/product/pedrini-0147-320-sajt-es-dioreszelo-rozsdamentes-acel-dob-mosogatogepben-is-moshato-olasz-minoseg-0147-320-18086")</f>
        <v>0.0</v>
      </c>
      <c r="E421" s="7" t="n">
        <f>HYPERLINK("https://www.somogyi.hu/data/img/product_main_images/small/18086.jpg","https://www.somogyi.hu/data/img/product_main_images/small/18086.jpg")</f>
        <v>0.0</v>
      </c>
      <c r="F421" s="2" t="inlineStr">
        <is>
          <t>8006330001474</t>
        </is>
      </c>
      <c r="G421" s="4" t="inlineStr">
        <is>
          <t>Szeretne egy praktikus és megbízható reszelőt, amely megkönnyíti a sajt és dió reszelését? A Pedrini 0147-320 sajt- és dióreszelő tökéletes választás a konyhájába, hogy minden ételkészítési folyamat egyszerűbbé és gyorsabbá váljon. 
Ez a reszelő kiváló minőségű műanyagból készült, rozsdamentes acél dobbal, amely garantálja a hosszú élettartamot és a megbízható teljesítményt. Az ergonomikus kialakításnak köszönhetően a használata rendkívül kényelmes és könnyed, így mindenki számára ideális választás. A Pedrini sajt- és dióreszelő mosogatógépben is mosható, így a tisztítása gyors és egyszerű. Az olasz minőség és precizitás biztosítja, hogy a reszelő mindig tökéletes eredményt nyújtson, akár sajt, akár dió reszeléséről van szó.
Emelje új szintre a konyhai munkát a Pedrini 0147-320 sajt- és dióreszelővel! Rendelje meg most, és élvezze az olasz minőség és praktikum előnyeit minden nap!</t>
        </is>
      </c>
    </row>
    <row r="422">
      <c r="A422" s="3" t="inlineStr">
        <is>
          <t>10-239-003</t>
        </is>
      </c>
      <c r="B422" s="2" t="inlineStr">
        <is>
          <t>NAVA 10-239-003 Imperial sütőtálca, 29 x 43,5 cm, 0,4 mm vastagság, 1,5 cm magasság, szénacél, tapadásmentes bevonat</t>
        </is>
      </c>
      <c r="C422" s="1" t="n">
        <v>2790.0</v>
      </c>
      <c r="D422" s="7" t="n">
        <f>HYPERLINK("https://www.somogyi.hu/product/nava-10-239-003-imperial-sutotalca-29-x-43-5-cm-0-4-mm-vastagsag-1-5-cm-magassag-szenacel-tapadasmentes-bevonat-10-239-003-18363","https://www.somogyi.hu/product/nava-10-239-003-imperial-sutotalca-29-x-43-5-cm-0-4-mm-vastagsag-1-5-cm-magassag-szenacel-tapadasmentes-bevonat-10-239-003-18363")</f>
        <v>0.0</v>
      </c>
      <c r="E422" s="7" t="n">
        <f>HYPERLINK("https://www.somogyi.hu/data/img/product_main_images/small/18363.jpg","https://www.somogyi.hu/data/img/product_main_images/small/18363.jpg")</f>
        <v>0.0</v>
      </c>
      <c r="F422" s="2" t="inlineStr">
        <is>
          <t>5205746153477</t>
        </is>
      </c>
      <c r="G422" s="4" t="inlineStr">
        <is>
          <t>"Megfelelő társat keres sütés-főzéshez? A NAVA Imperial sütőtálca az a tökéletes segítőtárs a konyhában, amelyre mindig számíthat.
A 29 x 43,5 cm méretű, tapadásmentes bevonattal ellátott tálca ideális mindenféle sütési feladathoz, legyen szó pizzáról, húsokról vagy süteményekről. A 0,4 mm vastagságú, szénacél anyagból készült tálca kiváló hőeloszlást biztosít, így az ételek egyenletesen sülnek meg, míg az 1,5 cm magasságú perem megakadályozza a nem kívánt lecsúszást.
A tapadásmentes bevonatnak köszönhetően az ételek könnyedén leválaszthatóak a tálcáról, így nem kell többé aggódnia amiatt, hogy a sütés után darabokban lesz az eredménye. Tisztítása is egyszerű, így több idő marad a fontos dolgokra.
Fedezze fel, hogy a NAVA Imperial sütőtálca milyen könnyedén válik az Ön konyhájának elengedhetetlen kellékévé. Tegye próbára ezt a remek konyhai eszközt, és élvezze a gondtalan sütést minden alkalommal!"</t>
        </is>
      </c>
    </row>
    <row r="423">
      <c r="A423" s="3" t="inlineStr">
        <is>
          <t>0152-420</t>
        </is>
      </c>
      <c r="B423" s="2" t="inlineStr">
        <is>
          <t>Pedrini 0152-420 díszítő tubus, öt fej tartozék, műanyag, olasz minőség</t>
        </is>
      </c>
      <c r="C423" s="1" t="n">
        <v>2990.0</v>
      </c>
      <c r="D423" s="7" t="n">
        <f>HYPERLINK("https://www.somogyi.hu/product/pedrini-0152-420-diszito-tubus-ot-fej-tartozek-muanyag-olasz-minoseg-0152-420-18079","https://www.somogyi.hu/product/pedrini-0152-420-diszito-tubus-ot-fej-tartozek-muanyag-olasz-minoseg-0152-420-18079")</f>
        <v>0.0</v>
      </c>
      <c r="E423" s="7" t="n">
        <f>HYPERLINK("https://www.somogyi.hu/data/img/product_main_images/small/18079.jpg","https://www.somogyi.hu/data/img/product_main_images/small/18079.jpg")</f>
        <v>0.0</v>
      </c>
      <c r="F423" s="2" t="inlineStr">
        <is>
          <t>8006330564047</t>
        </is>
      </c>
      <c r="G423" s="4" t="inlineStr">
        <is>
          <t>Szeretné, ha süteményei és tortái mindig tökéletesen díszítettek lennének? A Pedrini 0152-420 díszítő tubus ideális választás minden házi cukrásznak és sütés szerelmesének, hogy művészi alkotásokat varázsoljon a desszertekre. 
Ez a praktikus díszítő tubus öt különböző fejjel rendelkezik, így változatos és kreatív mintákat készíthet könnyedén. A tubus kiváló minőségű műanyagból készült, amely garantálja a hosszú élettartamot és a könnyű tisztíthatóságot. A kb. 1,5 dl-es űrtartalom elegendő mennyiségű cukormáz vagy tejszínhab tárolására alkalmas, így nem kell folyamatosan újratöltenie. Az olasz minőség biztosítja, hogy a díszítő tubus mindig megbízható és egyszerűen használható legyen, így a díszítés élvezetes és stresszmentes lesz.
Tegye különlegessé süteményeit a Pedrini 0152-420 díszítő tubussal! Rendelje meg most, és élvezze a kreatív süteménydekoráció minden pillanatát!</t>
        </is>
      </c>
    </row>
    <row r="424">
      <c r="A424" s="3" t="inlineStr">
        <is>
          <t>10-103-020</t>
        </is>
      </c>
      <c r="B424" s="2" t="inlineStr">
        <is>
          <t>Nava 10-103-020 Nature tapadásmentes csatos tortaforma, kőbevonattal , 22 cm</t>
        </is>
      </c>
      <c r="C424" s="1" t="n">
        <v>2790.0</v>
      </c>
      <c r="D424" s="7" t="n">
        <f>HYPERLINK("https://www.somogyi.hu/product/nava-10-103-020-nature-tapadasmentes-csatos-tortaforma-kobevonattal-22-cm-10-103-020-18617","https://www.somogyi.hu/product/nava-10-103-020-nature-tapadasmentes-csatos-tortaforma-kobevonattal-22-cm-10-103-020-18617")</f>
        <v>0.0</v>
      </c>
      <c r="E424" s="7" t="n">
        <f>HYPERLINK("https://www.somogyi.hu/data/img/product_main_images/small/18617.jpg","https://www.somogyi.hu/data/img/product_main_images/small/18617.jpg")</f>
        <v>0.0</v>
      </c>
      <c r="F424" s="2" t="inlineStr">
        <is>
          <t>5205746000108</t>
        </is>
      </c>
      <c r="G424" s="4" t="inlineStr">
        <is>
          <t>Tökéletes tortaformát keres, melyből könnyen kiemelheti az elkészült tésztát és hamar eltisztítható? Fedezze fel a Nava 10-103-020 Nature tapadásmentes csatos tortaformát, melynek kiváló minőségű kőbevonata garantálja a problémamentes sütést.
Ez a 22cm átmérőjű, 6,7cm magas, 2,23 liter űrtartalmú tortaforma szénacélból készült, ami egyenletes hőeloszlást biztosít, így jobb sütési eredményeket érhet el. A tapadásmentes kőbevonat és az egyszerűen leválasztható oldalmechanizmus gondoskodik arról, hogy a torta könnyen kivehető legyen, valamint a forma könnyen tisztítható legyen használat után.
Néhány tipp, hogy sokáig használhassa a terméket:
* Az első használat előtt mosogassa el a formát meleg, szappanos vízzel és puha szivaccsal
* Minden használat előtt kenje be a forma belső felületét olajjal vagy vajjal
* Ne hevítse túl a formát, ha üres
* Alacsony vagy közepes hő elegendő a legjobb sütési eredmények eléréséhez. A maximális hőmérséklet ne haladja meg a 230°C-ot
* Ne töltse a formát a kapacitásának több mint 2/3-ad részével, hogy elkerülje a túlcsordulást
* Hagyja a formát hűlni, majd mosogassa el meleg, szappanos vízzel és puha szivaccsal.
* Fa, műanyag vagy szilikon konyhai eszközök használatát részesítse előnyben a tapadásmentes bevonat élettartamának meghosszabbítása érdekében
* Soha ne vágjon ételt a formában éles eszközökkel
* Savas ételek (pl. paradicsomlé, citruslé) használata nem ajánlott
* A sütőpapír használata meghosszabbítja a forma és a tapadásmentes bevonat élettartamát
* A kézi mosás előnyben részesítése hosszabb élettartamot biztosít a formának
* Ne használjon fémszivacsokat, drótot vagy erős tisztítószereket
A tapadásmentes bevonat megfelel az élelmiszerrel való érintkezésre vonatkozó előírásoknak.
A Nava Nature csatos tortaforma nemcsak praktikus és könnyen használható, de hosszú távon megbízható segítséget nyújt a tökéletes torták sütéséhez. Kezdje el a sütést ma, és élvezze a gondtalan konyhai élményeket ezzel a kiváló minőségű tortaformával!</t>
        </is>
      </c>
    </row>
    <row r="425">
      <c r="A425" s="3" t="inlineStr">
        <is>
          <t>03GD109G</t>
        </is>
      </c>
      <c r="B425" s="2" t="inlineStr">
        <is>
          <t>Pedrini 03GD109G szívforma, 25 x 25 cm, dupla tapadásmentes bevonat, mosogatógépben mosható, olasz minőség</t>
        </is>
      </c>
      <c r="C425" s="1" t="n">
        <v>4990.0</v>
      </c>
      <c r="D425" s="7" t="n">
        <f>HYPERLINK("https://www.somogyi.hu/product/pedrini-03gd109g-szivforma-25-x-25-cm-dupla-tapadasmentes-bevonat-mosogatogepben-moshato-olasz-minoseg-03gd109g-18082","https://www.somogyi.hu/product/pedrini-03gd109g-szivforma-25-x-25-cm-dupla-tapadasmentes-bevonat-mosogatogepben-moshato-olasz-minoseg-03gd109g-18082")</f>
        <v>0.0</v>
      </c>
      <c r="E425" s="7" t="n">
        <f>HYPERLINK("https://www.somogyi.hu/data/img/product_main_images/small/18082.jpg","https://www.somogyi.hu/data/img/product_main_images/small/18082.jpg")</f>
        <v>0.0</v>
      </c>
      <c r="F425" s="2" t="inlineStr">
        <is>
          <t>8006330010612</t>
        </is>
      </c>
      <c r="G425" s="4" t="inlineStr">
        <is>
          <t>A tökéletes szív alakú tortaformát keresi, hogy különleges alkalmakon meglephesse szeretteit? A Pedrini 03GD109G szívforma pontosan az, amire szüksége van. Az olasz minőségű, 25 x 25 cm méretű forma tökéletes választás Valentin-napra, évfordulókra vagy bármely romantikus vacsorára, ahol egy kis plusz figyelmességgel szeretné meglepni párját.
A dupla tapadásmentes bevonatnak köszönhetően a sütés egyszerű és gondtalan lesz, hiszen semmi sem ragad le, így a forma tisztítása is gyerekjáték. Továbbá a Pedrini szívforma mosogatógépben is mosható, így Ön több időt tölthet szeretteivel, és kevesebbet a konyhában.
Ne hagyja ki ezt a kivételes sütőformát, amely nemcsak praktikus, hanem elegáns megjelenésével is hozzájárul az asztal díszítéséhez. Válassza a Pedrini 03GD109G szívformát, és varázsolja el ételeit az olasz sütőipar finomságával!</t>
        </is>
      </c>
    </row>
    <row r="426">
      <c r="A426" s="3" t="inlineStr">
        <is>
          <t>03GD105G</t>
        </is>
      </c>
      <c r="B426" s="2" t="inlineStr">
        <is>
          <t>Pedrini 03GD105G csatos tortaforma, 24 cm átmérő, kétféle betét, rozsdamentes acél</t>
        </is>
      </c>
      <c r="C426" s="1" t="n">
        <v>7990.0</v>
      </c>
      <c r="D426" s="7" t="n">
        <f>HYPERLINK("https://www.somogyi.hu/product/pedrini-03gd105g-csatos-tortaforma-24-cm-atmero-ketfele-betet-rozsdamentes-acel-03gd105g-18081","https://www.somogyi.hu/product/pedrini-03gd105g-csatos-tortaforma-24-cm-atmero-ketfele-betet-rozsdamentes-acel-03gd105g-18081")</f>
        <v>0.0</v>
      </c>
      <c r="E426" s="7" t="n">
        <f>HYPERLINK("https://www.somogyi.hu/data/img/product_main_images/small/18081.jpg","https://www.somogyi.hu/data/img/product_main_images/small/18081.jpg")</f>
        <v>0.0</v>
      </c>
      <c r="F426" s="2" t="inlineStr">
        <is>
          <t>8006330010155</t>
        </is>
      </c>
      <c r="G426" s="4" t="inlineStr">
        <is>
          <t>Szeretné tökéletesre sütni kedvenc tortáit és süteményeit, miközben elegáns megoldásokat alkalmaz a konyhájában? A Pedrini 03GD105G csatos tortaforma igazi kincset jelent minden sütni szerető számára, hiszen kiváló minőségű rozsdamentes acélból készült, olasz szakértelemmel. 
Ez a 24 cm átmérőjű tortaforma ideális választás a mindennapi sütéshez, miközben két cserélhető betéttel – koszorú és torta formában – különböző sütemények elkészítését is lehetővé teszi, így sokoldalú kiegészítője a konyhának. A kapcsos kialakításnak köszönhetően a Pedrini tortaforma egyszerűen használható: a kapcsos zár megkönnyíti a sütemények eltávolítását a formából, anélkül, hogy sérülne az elkészült desszert. A forma dupla tapadásmentes bevonattal rendelkezik, ami garantálja, hogy a tészta nem ragad le, és a sütés folyamata zökkenőmentesen zajlik. Az alsó rész tálalásra is alkalmas, így közvetlenül az asztalra teheti a formában sült desszertet, ami elegáns megoldást nyújt a vendéglátásban. A tortaforma mosogatógépben is mosható, így a tisztítás gyors és egyszerű, emellett a rozsdamentes acél kivitel biztosítja a hosszú élettartamot és az esztétikus megjelenést. A Pedrini 03GD105G csatos tortaforma elengedhetetlen kiegészítő minden sütő szerelmese számára, akik értékelik a praktikus és minőségi eszközöket.
Válassza a Pedrini csatos tortaformát, és fedezze fel, milyen egyszerű és stílusos lehet a sütés! Készítsen lenyűgöző süteményeket és tortákat, amelyek ízükben és megjelenésükben is maradandó élményt nyújtanak!</t>
        </is>
      </c>
    </row>
    <row r="427">
      <c r="A427" s="3" t="inlineStr">
        <is>
          <t>03GD122G</t>
        </is>
      </c>
      <c r="B427" s="2" t="inlineStr">
        <is>
          <t>Pedrini 03GD122G muffinforma, 12 muffin, dupla tapadásmentes bevonat, mosogatógépben mosható, 35 x 27 cm</t>
        </is>
      </c>
      <c r="C427" s="1" t="n">
        <v>6690.0</v>
      </c>
      <c r="D427" s="7" t="n">
        <f>HYPERLINK("https://www.somogyi.hu/product/pedrini-03gd122g-muffinforma-12-muffin-dupla-tapadasmentes-bevonat-mosogatogepben-moshato-35-x-27-cm-03gd122g-18083","https://www.somogyi.hu/product/pedrini-03gd122g-muffinforma-12-muffin-dupla-tapadasmentes-bevonat-mosogatogepben-moshato-35-x-27-cm-03gd122g-18083")</f>
        <v>0.0</v>
      </c>
      <c r="E427" s="7" t="n">
        <f>HYPERLINK("https://www.somogyi.hu/data/img/product_main_images/small/18083.jpg","https://www.somogyi.hu/data/img/product_main_images/small/18083.jpg")</f>
        <v>0.0</v>
      </c>
      <c r="F427" s="2" t="inlineStr">
        <is>
          <t>8006330010834</t>
        </is>
      </c>
      <c r="G427" s="4" t="inlineStr">
        <is>
          <t>Kíváncsi, hogyan készítheti el tökéletesen muffinjait anélkül, hogy azok a formához ragadnak? A Pedrini 03GD122G muffinforma a megoldás. 12 adagos kialakításával ez a forma tökéletes választás azok számára, akik egyszerre több süteményt szeretnének készíteni, legyen szó családi összejövetelről vagy baráti találkozóról.
A dupla tapadásmentes bevonat biztosítja, hogy minden egyes muffin könnyedén kivehető legyen a formából, így többé nem kell aggódnia a sütés utáni macerás tisztítás miatt. Ráadásul a Pedrini muffinforma mosogatógépben is mosható, ami még inkább megkönnyíti az Ön életét.
Méretével, 35 x 27 cm, tökéletesen illeszkedik a standard sütőkbe, és az olasz minőségű kivitelezés garantálja a hosszú távú használatot. Ne hagyja ki ezt a kiváló sütőeszközt, amely megkönnyíti a süteménykészítést és garantálja a sikerélményt minden egyes alkalommal. Válassza a Pedrini muffinformát, és emelje sütési élményeit a következő szintre!</t>
        </is>
      </c>
    </row>
    <row r="428">
      <c r="A428" s="3" t="inlineStr">
        <is>
          <t>03GD259</t>
        </is>
      </c>
      <c r="B428" s="2" t="inlineStr">
        <is>
          <t>Pedrini 03GD259 műanyag habkártya, három darabos kiszerelés, rugalmas, mosogatógépben is mosható, olasz minőség</t>
        </is>
      </c>
      <c r="C428" s="1" t="n">
        <v>1690.0</v>
      </c>
      <c r="D428" s="7" t="n">
        <f>HYPERLINK("https://www.somogyi.hu/product/pedrini-03gd259-muanyag-habkartya-harom-darabos-kiszereles-rugalmas-mosogatogepben-is-moshato-olasz-minoseg-03gd259-18085","https://www.somogyi.hu/product/pedrini-03gd259-muanyag-habkartya-harom-darabos-kiszereles-rugalmas-mosogatogepben-is-moshato-olasz-minoseg-03gd259-18085")</f>
        <v>0.0</v>
      </c>
      <c r="E428" s="7" t="n">
        <f>HYPERLINK("https://www.somogyi.hu/data/img/product_main_images/small/18085.jpg","https://www.somogyi.hu/data/img/product_main_images/small/18085.jpg")</f>
        <v>0.0</v>
      </c>
      <c r="F428" s="2" t="inlineStr">
        <is>
          <t>0883336401990</t>
        </is>
      </c>
      <c r="G428" s="4" t="inlineStr">
        <is>
          <t>Szeretné, ha tortái és süteményei mindig tökéletesen simák és szépen díszítettek lennének? A Pedrini 03GD259 műanyag habkártya tökéletes választás, ha torták díszítéséhez és fondantok simításához keres praktikus eszközt. 
Ez a három darabos kiszerelésű habkártya rugalmas műanyagból készült, ami biztosítja a könnyű és precíz használatot, így minden díszítés gyerekjáték lesz. A rugalmas anyag lehetővé teszi a habkártyák könnyed mozgatását és a torták felületének tökéletes simítását. A kártyák egyszerűen használhatók, így ideálisak mind kezdő, mind haladó cukrászok számára. A termék mosogatógépben is mosható, ami gyors és egyszerű tisztítást biztosít, hogy több időt tölthessen a kreatív munkával.
Az olasz minőség garantálja, hogy ezek a habkártyák hosszú élettartamúak és megbízhatóak, így mindig számíthat rájuk, amikor a legszebb tortákat szeretné elkészíteni.
Válassza a Pedrini 03GD259 műanyag habkártyát, és tegye tortái díszítését egyszerűvé és élvezetessé! Rendelje meg most, és élvezze a tökéletes eredményt minden alkalommal!</t>
        </is>
      </c>
    </row>
    <row r="429">
      <c r="A429" s="6" t="inlineStr">
        <is>
          <t xml:space="preserve">   Háztartási gép, eszköz / Kés, kés készlet</t>
        </is>
      </c>
      <c r="B429" s="6" t="inlineStr">
        <is>
          <t/>
        </is>
      </c>
      <c r="C429" s="6" t="inlineStr">
        <is>
          <t/>
        </is>
      </c>
      <c r="D429" s="6" t="inlineStr">
        <is>
          <t/>
        </is>
      </c>
      <c r="E429" s="6" t="inlineStr">
        <is>
          <t/>
        </is>
      </c>
      <c r="F429" s="6" t="inlineStr">
        <is>
          <t/>
        </is>
      </c>
      <c r="G429" s="6" t="inlineStr">
        <is>
          <t/>
        </is>
      </c>
    </row>
    <row r="430">
      <c r="A430" s="3" t="inlineStr">
        <is>
          <t>802-796</t>
        </is>
      </c>
      <c r="B430" s="2" t="inlineStr">
        <is>
          <t>Satake 802-796 Satoru japán hámozó kés, 10 cm penge hossz, rozsdamentes acél, kemény műanyag markolat</t>
        </is>
      </c>
      <c r="C430" s="1" t="n">
        <v>11990.0</v>
      </c>
      <c r="D430" s="7" t="n">
        <f>HYPERLINK("https://www.somogyi.hu/product/satake-802-796-satoru-japan-hamozo-kes-10-cm-penge-hossz-rozsdamentes-acel-kemeny-muanyag-markolat-802-796-19105","https://www.somogyi.hu/product/satake-802-796-satoru-japan-hamozo-kes-10-cm-penge-hossz-rozsdamentes-acel-kemeny-muanyag-markolat-802-796-19105")</f>
        <v>0.0</v>
      </c>
      <c r="E430" s="7" t="n">
        <f>HYPERLINK("https://www.somogyi.hu/data/img/product_main_images/small/19105.jpg","https://www.somogyi.hu/data/img/product_main_images/small/19105.jpg")</f>
        <v>0.0</v>
      </c>
      <c r="F430" s="2" t="inlineStr">
        <is>
          <t>4956617802796</t>
        </is>
      </c>
      <c r="G430" s="4" t="inlineStr">
        <is>
          <t>Gondolt már arra, hogy egy precíz és könnyen kezelhető kés mekkora segítség lehet a mindennapi konyhai feladatok során? A Satake 802-796 Satoru japán hámozó kés pontosan ezt a célt szolgálja. 
Kialakítása révén tökéletes választás kisebb konyhai munkákhoz, például zöldségek és gyümölcsök hámozásához, apró részletek kidolgozásához, vagy nem kívánt részek eltávolításához. A mindössze 10 cm hosszúságú, vékony pengéje könnyedén irányítható, míg éles hegye biztosítja a precíz vágást minden alkalommal.
Minőségi rozsdamentes acél penge a tartós élességért
A penge AUS-8A rozsdamentes acélból készült, amely híres kiváló korrózióállóságáról és tartósságáról. Ez a 58-59 HRC keménységű anyag hosszú ideig megőrzi élességét, így biztos lehet benne, hogy a hámozás és aprítás mindig simán és hatékonyan zajlik majd. A mindössze 1,6 mm vastagságú penge különösen vékony, így a legapróbb vágásokat is gond nélkül elvégezheti.
Ergonomikus és tartós markolat
A kés markolata kemény műanyag laminátumból készült, amely tartós és kényelmes fogást biztosít. A markolat kialakítása ergonomikus, így hosszabb használat esetén sem fárasztó a kéz számára. Kompakt méretének köszönhetően a kés mindössze 70 g súlyú, amely ideális választás kisebb konyhákba, ahol fontos a helytakarékosság, valamint azoknak, akik egy könnyen kezelhető, precíz kést keresnek.
Kiváló választás minden konyhába
A Satake Satoru hámozó kés 21,7 cm-es teljes hosszúságával és 10 cm-es pengéjével tökéletes egyensúlyt nyújt a könnyű irányíthatóság és a hatékonyság között. A kétoldalas, szimmetrikus vágóél kialakításának köszönhetően mind jobb-, mind balkezes használók számára kiválóan alkalmas. Kompakt mérete és könnyű súlya miatt ideális otthoni szakácsoknak, kezdőknek és bárkinek, aki egyszerű, de precíz megoldást keres a mindennapi konyhai feladatokra.
Satake minőség – Tradíció és modernitás találkozása
A japán konyhai kések évszázadokon átívelő hagyománya és a modern anyagok használata egyesül a Satake Satoru hámozó késben. Ez a kés nemcsak eszköz, hanem egy olyan kiegészítő, amely megbízhatóságával és élességével minden konyhai kihívást megkönnyít.
Szerezze be most a Satake Satoru hámozó kést, és élvezze a precíz vágások nyújtotta kényelmet minden nap!</t>
        </is>
      </c>
    </row>
    <row r="431">
      <c r="A431" s="3" t="inlineStr">
        <is>
          <t>801-645</t>
        </is>
      </c>
      <c r="B431" s="2" t="inlineStr">
        <is>
          <t>Satake 801-645 Megumi Yanagi / Sashimi japán konyhakés, rozsdamentes acél, 21 cm pengehossz, gumifa markolat</t>
        </is>
      </c>
      <c r="C431" s="1" t="n">
        <v>11390.0</v>
      </c>
      <c r="D431" s="7" t="n">
        <f>HYPERLINK("https://www.somogyi.hu/product/satake-801-645-megumi-yanagi-sashimi-japan-konyhakes-rozsdamentes-acel-21-cm-pengehossz-gumifa-markolat-801-645-19142","https://www.somogyi.hu/product/satake-801-645-megumi-yanagi-sashimi-japan-konyhakes-rozsdamentes-acel-21-cm-pengehossz-gumifa-markolat-801-645-19142")</f>
        <v>0.0</v>
      </c>
      <c r="E431" s="7" t="n">
        <f>HYPERLINK("https://www.somogyi.hu/data/img/product_main_images/small/19142.jpg","https://www.somogyi.hu/data/img/product_main_images/small/19142.jpg")</f>
        <v>0.0</v>
      </c>
      <c r="F431" s="2" t="inlineStr">
        <is>
          <t>4956617801645</t>
        </is>
      </c>
      <c r="G431" s="4" t="inlineStr">
        <is>
          <t>Hogyan érhet el tökéletes precizitást a japán konyha mesterműveinek elkészítésekor? A Satake 801-645 Megumi Yanagi / Sashimi japán konyhakés egy kivételes minőségű, hagyományos japán kés, amelyet kifejezetten sashimi, sushi és más finom, pontos vágásokat igénylő ételek elkészítéséhez terveztek. A 21 cm hosszúságú pengéjével és egyoldalas élezésével garantálja a tökéletes, sima vágásokat, miközben a kényelmes gumifa markolat stabil fogást biztosít.
Kiváló minőségű penge a precíziós vágásokhoz 
A kés pengéje U420J2 rozsdamentes acélból készült, amely a Nippon Koshuha technológiájának köszönhetően kivételes élességet és tartósságot biztosít. A penge 56 HRC keménységgel rendelkezik, amely megfelelő egyensúlyt teremt az élesség megtartása és a könnyű karbantarthatóság között. A 21 cm-es penge hossza ideális hosszabb, egyenletes vágásokhoz, például nyers hal, zöldségek vagy húsok szeleteléséhez.
Hagyományos japán dizájn és ergonomikus markolat 
A kés markolata gumifából készült, amely nemcsak a természetes szépséget tükrözi, hanem kiváló fogást is biztosít. Az ergonomikus kialakítás megkönnyíti a hosszabb ideig tartó munkavégzést anélkül, hogy a kéz elfáradna. Az összesen 33,9 cm-es teljes hossz tökéletes egyensúlyt teremt a penge és a markolat között, megkönnyítve a pontos és precíz mozdulatokat.
Egyoldalas élezés a professzionális teljesítményért 
A Satake Megumi Yanagi konyhakés egyoldalas élezéssel rendelkezik, amely különösen alkalmassá teszi a sashimi és sushi alapanyagok finom szeletelésére. Ez a kialakítás lehetővé teszi, hogy a kés rendkívül vékony szeleteket vágjon, miközben minimalizálja az anyag deformálódását. A 3 cm széles és 2 mm vastag penge tökéletes egyensúlyt biztosít az erő és a precizitás között.
Miért válassza a Satake 801-645 Megumi Yanagi japán konyhakést?
 – Kiváló minőségű rozsdamentes acél penge a tartósság és élesség érdekében. 
– Hagyományos japán dizájn ergonomikus gumifa markolattal. 
– Egyoldalas élezés a pontos, vékony vágásokhoz. 
– Könnyű és kiegyensúlyozott kialakítás a kényelmes használatért. 
– Ideális sashimi, sushi és más precíziós vágásokat igénylő ételekhez.
Hozza ki a legtöbbet konyhai tudásából a Satake Megumi Yanagi japán konyhakés segítségével! Élvezze a hagyományos japán kések precizitását és minőségét, amely minden főzést valódi élménnyé varázsol.</t>
        </is>
      </c>
    </row>
    <row r="432">
      <c r="A432" s="3" t="inlineStr">
        <is>
          <t>803-694</t>
        </is>
      </c>
      <c r="B432" s="2" t="inlineStr">
        <is>
          <t>Satake 803-694 Satoru Deba japán konyhakés, 16,4 cm penge hossz, rozsdamentes acél, kemény műanyag markolat</t>
        </is>
      </c>
      <c r="C432" s="1" t="n">
        <v>18390.0</v>
      </c>
      <c r="D432" s="7" t="n">
        <f>HYPERLINK("https://www.somogyi.hu/product/satake-803-694-satoru-deba-japan-konyhakes-16-4-cm-penge-hossz-rozsdamentes-acel-kemeny-muanyag-markolat-803-694-19103","https://www.somogyi.hu/product/satake-803-694-satoru-deba-japan-konyhakes-16-4-cm-penge-hossz-rozsdamentes-acel-kemeny-muanyag-markolat-803-694-19103")</f>
        <v>0.0</v>
      </c>
      <c r="E432" s="7" t="n">
        <f>HYPERLINK("https://www.somogyi.hu/data/img/product_main_images/small/19103.jpg","https://www.somogyi.hu/data/img/product_main_images/small/19103.jpg")</f>
        <v>0.0</v>
      </c>
      <c r="F432" s="2" t="inlineStr">
        <is>
          <t>4956617803694</t>
        </is>
      </c>
      <c r="G432" s="4" t="inlineStr">
        <is>
          <t>Egy olyan kést keres, amely a halak és húsok feldolgozását mesterfokra emeli? A Satake 803-694 Satoru Deba japán konyhakés a tradicionális japán kézművesség és a modern technológia találkozásából született. Ez a kés kiváló választás halak filézéséhez és feldolgozásához, miközben a hús szerkezetének megőrzésére is tökéletesen alkalmas. A 16,4 cm hosszúságú pengével könnyedén vághatja át a halcsontokat vagy bonthatja a baromfit, miközben a penge kialakítása lehetővé teszi a precíz és gyors vágást, akár szűk helyeken is.
Kiváló minőségű rozsdamentes acél penge
A penge anyaga AUS-8A rozsdamentes acél, amely tartós élességet és kiemelkedő korrózióállóságot biztosít. Az 58-59 HRC keménységű acél hosszú élettartamot és könnyű karbantarthatóságot garantál. A 2,9 mm vastagságú penge különösen vastag és erős, amely megfelelő stabilitást nyújt még a nagyobb erőhatással végzett vágásokhoz is. Ezáltal a Deba kés alkalmas arra, hogy akár keményebb csontokat is könnyedén átvágjon, miközben a penge egyoldalas kialakítása segíti a pontos és irányítható vágásokat.
A penge szélessége 5,1 cm, amely tovább növeli a stabilitást, és lehetővé teszi, hogy még a nagyobb halakat is könnyedén feldolgozza. Az éles hegy és a vastag penge kombinációja segít az olyan precíziós műveletekben, mint a csontozás vagy a bőr leválasztása.
Ergonomikus és tartós markolat
A kés markolata kemény műanyag laminátumból készült, amely tartós és ellenáll a nedvességnek. Ez nemcsak praktikus, de a kézbe is kényelmesen illeszkedik, így biztos fogást nyújt még nedves körülmények között is. A 29,8 cm teljes hosszúságú kés súlya mindössze 215 g, így könnyen manőverezhető, miközben a masszív pengének köszönhetően nagy erőt képes kifejteni minimális nyomás mellett.
A Deba kés hagyományai
A Deba kés története évszázadokra nyúlik vissza a japán konyhaművészetben, és a mai napig az egyik legfontosabb eszköz a halak és húsok feldolgozásában. A ""Deba"" név jelentése ""kifelé vágni"", ami utal a kés alapvető használatára: a hús és csont elválasztására. Eredete a Kamakura-korszakig (1185-1333) nyúlik vissza, amikor a japán kézművesek elkezdték tökéletesíteni a halak és más alapanyagok feldolgozásához szükséges eszközöket.
A Deba kés egyoldalas élezése a precíz vágás érdekében készült, amely lehetővé teszi a hús könnyed elválasztását a csonttól. Ezt a technikát évszázadokon át használták a halpiacokon és háztartásokban egyaránt, és a Deba kés a mai napig elengedhetetlen eszköz a japán konyhában.
Sokoldalú konyhai eszköz
A Satake Satoru Deba kés nemcsak halak feldolgozására alkalmas, hanem ideális baromfi bontásához, húsok darabolásához vagy akár zöldségek aprításához is. Az erős, vastag penge és az éles hegy kiválóan teljesít a különböző konyhai feladatok során, miközben az egyoldalas él biztosítja, hogy minden vágás pontos és tiszta legyen. Mind a profi szakácsok, mind a lelkes otthoni szakácsok számára remek választás, akik szeretnék tökéletesíteni vágási technikáikat.
Szerezze be a Satake Satoru Deba kést, és tapasztalja meg a japán kézművesség nyújtotta precíziós vágások élményét a saját konyhájában!</t>
        </is>
      </c>
    </row>
    <row r="433">
      <c r="A433" s="3" t="inlineStr">
        <is>
          <t>10-167-021</t>
        </is>
      </c>
      <c r="B433" s="2" t="inlineStr">
        <is>
          <t>Nava 10-167-021 7db-os rozsdamentes acél késkészlet akril állvánnyal, forgatható</t>
        </is>
      </c>
      <c r="C433" s="1" t="n">
        <v>22090.0</v>
      </c>
      <c r="D433" s="7" t="n">
        <f>HYPERLINK("https://www.somogyi.hu/product/nava-10-167-021-7db-os-rozsdamentes-acel-keskeszlet-akril-allvannyal-forgathato-10-167-021-18667","https://www.somogyi.hu/product/nava-10-167-021-7db-os-rozsdamentes-acel-keskeszlet-akril-allvannyal-forgathato-10-167-021-18667")</f>
        <v>0.0</v>
      </c>
      <c r="E433" s="7" t="n">
        <f>HYPERLINK("https://www.somogyi.hu/data/img/product_main_images/small/18667.jpg","https://www.somogyi.hu/data/img/product_main_images/small/18667.jpg")</f>
        <v>0.0</v>
      </c>
      <c r="F433" s="2" t="inlineStr">
        <is>
          <t>5205746905106</t>
        </is>
      </c>
      <c r="G433" s="4" t="inlineStr">
        <is>
          <t>Az ideális társat keresi a konyhában, amely minden vágási feladatra megoldást kínál? A Nava 10-167-021 7db-os rozsdamentes acél késkészlet akril állvánnyal minden szükséges kést tartalmaz, hogy a konyhai előkészületek könnyedén és gyorsan elvégezhetők legyenek. 
A 18/8-as rozsdamentes acélból készült pengék rendkívül tartósak, és hosszú távon élesek maradnak. Az ergonomikus markolatok precíz és gyors vágást tesznek lehetővé, míg a fekete, tapadásmentes bevonat kényelmes fogást biztosít. A készlet egy forgatható akril állványt is tartalmaz, amely egyszerű és biztonságos tárolást kínál a kések számára.
A szett gyönyörű csomagolása tökéletes és praktikus ajándékká teszi azt bárki számára. A készlet tartalma:
* Húsvágó kés, 30,5 cm, nagy húsok darabolásához (penge: 17 cm - nyél: 13,5 cm)
* Séfkés, 33,5 cm, húsok, halak, zöldségek aprításához (penge: 20 cm - nyél: 13,5 cm)
* Kenyérvágó kés, 33,5 cm (penge: 20 cm - nyél: 13,5 cm)
* Háztartási kés, 22,5 cm, általános célra (penge: 11,5 cm - nyél: 11 cm)
* Hámozókés, 20 cm (penge: 9 cm - nyél: 11 cm)
* Késélező, 30  cm, (élezőrúd: 19 cm - nyél: 11 cm)
* Konyhai olló, 18,5 cm, szárnyasok, halak és fűszernövények vágására
* Akril állvány, 360°-ban forgatható
Mielőtt először használná a terméket, mossa meg langyos, szappanos vízzel és puha szivaccsal. Minden használat után alaposan mossa és szárítsa meg egy száraz ruhával. Kerülje a fémszivacsok és erős tisztítószerek használatát. Rozsdamentes acél termékekhez ajánlott tisztítószerek használata javasolt a termék hosszabb élettartama érdekében.
A Nava 10-167-021 késkészlet nem csak a konyhai munkák elengedhetetlen segítőtársa, de elegáns kiegészítője is lehet otthonának.</t>
        </is>
      </c>
    </row>
    <row r="434">
      <c r="A434" s="3" t="inlineStr">
        <is>
          <t>802-772</t>
        </is>
      </c>
      <c r="B434" s="2" t="inlineStr">
        <is>
          <t>Satake 802-772 Satoru japán szeletelő kés, 21 cm penge hossz, rozsdamentes acél, kemény műanyag markolat</t>
        </is>
      </c>
      <c r="C434" s="1" t="n">
        <v>17590.0</v>
      </c>
      <c r="D434" s="7" t="n">
        <f>HYPERLINK("https://www.somogyi.hu/product/satake-802-772-satoru-japan-szeletelo-kes-21-cm-penge-hossz-rozsdamentes-acel-kemeny-muanyag-markolat-802-772-19106","https://www.somogyi.hu/product/satake-802-772-satoru-japan-szeletelo-kes-21-cm-penge-hossz-rozsdamentes-acel-kemeny-muanyag-markolat-802-772-19106")</f>
        <v>0.0</v>
      </c>
      <c r="E434" s="7" t="n">
        <f>HYPERLINK("https://www.somogyi.hu/data/img/product_main_images/small/19106.jpg","https://www.somogyi.hu/data/img/product_main_images/small/19106.jpg")</f>
        <v>0.0</v>
      </c>
      <c r="F434" s="2" t="inlineStr">
        <is>
          <t>4956617802772</t>
        </is>
      </c>
      <c r="G434" s="4" t="inlineStr">
        <is>
          <t>Egy olyan késre van szüksége, amely tökéletesen szeleteli a szárnyasokat, sülteket vagy sonkákat? A Satake 802-772 Satoru japán szeletelő kés kifejezetten arra lett tervezve, hogy a vékony, precíz és sima vágások mestere legyen. Pengéje hosszúkás, keskenyebb és vékonyabb, mint a hagyományos konyhai késeké, így gond nélkül szeletelhet vele húst, anélkül, hogy az elakadna vagy szétszakítaná a rostokat. Ezáltal a tálalás egyszerűbb és elegánsabb lesz, a végeredmény pedig látványosabb.
Kiváló minőségű penge a tökéletes szeletekért
A penge anyaga AUS-8A rozsdamentes acél, amely biztosítja a tartós élességet és a kiváló korrózióállóságot. Ez az acélfajta 58-59 HRC keménységgel rendelkezik, ami garantálja, hogy a penge hosszú ideig éles marad, így mindig pontos és tiszta vágásokat érhet el. A 21 cm-es hosszú penge lehetővé teszi, hogy nagyobb húsdarabokat is könnyedén és pontosan szeleteljen, a 2,4 mm-es vastagság pedig megfelelő stabilitást biztosít a legfinomabb vágásokhoz is.
A penge 3,1 cm-es szélessége biztosítja, hogy elegendő felület álljon rendelkezésre a stabil szeleteléshez, ugyanakkor a keskeny kialakítás miatt könnyedén átvág bármilyen húst, legyen szó sült csirkéről, pulykáról vagy akár sonkáról. A kétoldalas, szimmetrikus vágóél biztosítja, hogy a kés mind jobb-, mind balkezes használók számára egyaránt kényelmes legyen.
Kényelmes és tartós markolat a biztos fogás érdekében
A markolat kemény műanyag laminátumból készült, amely tartósságával és egyszerű tisztíthatóságával tűnik ki. A 34,3 cm-es teljes hosszúságú kés ergonómikus kialakítású markolata könnyed fogást biztosít, így a hosszan tartó munkavégzés során sem fárasztja a kezet. A kés súlya mindössze 151 g, így rendkívül könnyen irányítható, ami tovább növeli a felhasználói élményt a szeletelési feladatok során.
A sonkakés hagyományai és evolúciója
A szeletelőkések, különösen a sonkakések, több évszázados múltra tekintenek vissza. Eredetük a középkori Európába nyúlik vissza, ahol a sonka konzerválása fontos élelmiszerforrás volt, és különleges késeket használtak a pontos szeleteléshez. Az ilyen típusú kések kezdetben egyszerű kovácsolt darabok voltak, de mára a technológia és a kézművesség ötvözésével tökéletesítettek őket. Egyes elméletek szerint ezek a kések Németországból származnak, mások Franciaországból, ahol a ""couteau à jambon"" kifejezést használták a 16. században. Bármilyen eredetűek is legyenek, a mai modern sonkakések már a legfejlettebb anyagokkal és technikákkal készülnek, hogy a szeletelés tökéletes legyen.
Tökéletes választás minden szakács számára
A Satake Satoru szeletelő kés kiváló választás, ha tökéletes szeleteket szeretne készíteni anélkül, hogy a hús elszakadna vagy elveszítené természetes textúráját. A hosszúkás és keskeny penge kialakításának köszönhetően könnyedén dolgozhat vele, és minden vágás pontos, sima és elegáns lesz. Ideális eszköz mind otthoni használatra, mind profi konyhákba, ahol a gyors és precíz szeletelés elengedhetetlen.
Ne várjon tovább! Fedezze fel a Satake Satoru japán szeletelő kés kivételes minőségét, és élvezze a könnyű, pontos és elegáns vágás nyújtotta előnyöket minden alkalommal!</t>
        </is>
      </c>
    </row>
    <row r="435">
      <c r="A435" s="3" t="inlineStr">
        <is>
          <t>803-762</t>
        </is>
      </c>
      <c r="B435" s="2" t="inlineStr">
        <is>
          <t>Satake 803-762 Tomoko japán kenyérvágó kés, 20 cm penge hossz, rozsdamentes acél, natúr fa markolat</t>
        </is>
      </c>
      <c r="C435" s="1" t="n">
        <v>10490.0</v>
      </c>
      <c r="D435" s="7" t="n">
        <f>HYPERLINK("https://www.somogyi.hu/product/satake-803-762-tomoko-japan-kenyervago-kes-20-cm-penge-hossz-rozsdamentes-acel-natur-fa-markolat-803-762-19109","https://www.somogyi.hu/product/satake-803-762-tomoko-japan-kenyervago-kes-20-cm-penge-hossz-rozsdamentes-acel-natur-fa-markolat-803-762-19109")</f>
        <v>0.0</v>
      </c>
      <c r="E435" s="7" t="n">
        <f>HYPERLINK("https://www.somogyi.hu/data/img/product_main_images/small/19109.jpg","https://www.somogyi.hu/data/img/product_main_images/small/19109.jpg")</f>
        <v>0.0</v>
      </c>
      <c r="F435" s="2" t="inlineStr">
        <is>
          <t>4956617803762</t>
        </is>
      </c>
      <c r="G435" s="4" t="inlineStr">
        <is>
          <t>Olyan kést keres, amely könnyedén szeleteli a ropogós cipót és a puha zsemlét is, anélkül, hogy a kenyér szétesne vagy morzsálódna? A Satake 803-762 Tomoko japán kenyérvágó kés a tökéletes választás minden típusú pékáruhoz. Legyen szó frissen sült, ropogós héjú kenyérről, lágy bagettről vagy akár teljes kiőrlésű cipóról, ez a fogazott kés biztosítja a sima és egyenletes szeleteket anélkül, hogy összenyomná vagy megtörné a kenyér szerkezetét. A 20 cm hosszú pengekényelmes és hatékony megoldást kínál még a legnagyobb kenyerek esetében is.
Prémium minőségű rozsdamentes acél penge
A penge U420J2 (Nippon Koshuha) rozsdamentes acélból készült, amely kiemelkedő tartósságot és hosszú élettartamot biztosít. Ez az anyag a kiváló vágási teljesítmény és a rozsdamentes tulajdonságok tökéletes egyensúlyát képviseli, így nemcsak hosszú élettartamra, hanem minimális karbantartási igényre is számíthat. A penge 1,1 mm vastag, amely biztosítja a könnyed irányíthatóságot a vágások során, miközben elég masszív ahhoz, hogy bármilyen kenyérféleségen simán végigvezesse.
A penge fogazott kialakítása különösen előnyös a kenyér szeletelésénél, hiszen a fogazat könnyedén megbirkózik a ropogós héjjal anélkül, hogy a puha belső morzsálódna vagy összenyomódna. A 3 cm széles penge elegendő stabilitást biztosít, míg a 20 cm hosszú penge lehetővé teszi, hogy még a nagyobb kenyereket is kényelmesen és pontosan szeletelje.
Kényelmes és természetes fa markolat
A markolat natúr fából készült, amely természetes tapintást és kényelmes fogást biztosít. A fa markolat kiválóan illeszkedik a kézbe, így biztosítja a könnyű és fáradtságmentes munkát, akár hosszabb ideig tartó szeletelés során is. A kés teljes hossza 32,6 cm, ami megfelelő egyensúlyt kínál a pengével, így pontosan és kényelmesen végezhető vele a munka.
A kenyérvágó kés hagyományai
A kenyérvágó kés története évszázadokra nyúlik vissza, és bár a pontos eredetét nehéz meghatározni, valószínűleg a kenyér fogyasztásával egyidős. Az első kenyérvágásra szánt, fogazott pengéjű kések a 18. században jelentek meg, amikor az igény a kenyér könnyed és pontos szeletelésére megnőtt. A fogazott penge kialakítása lehetővé teszi, hogy a kenyér szeletelése könnyedén történjen, anélkül, hogy összetörné a ropogós héjat vagy a lágy belsőt.
Tökéletes választás otthoni és profi használatra
A Satake Tomoko kenyérvágó kés ideális választás minden konyhába. Könnyedén szeletelheti vele a mindennapi kenyeret, legyen az fehér, rozsos vagy teljes kiőrlésű. A penge kiváló minősége és a természetes fa markolat kényelme együttesen biztosítják, hogy minden vágás pontos, tiszta és morzsamentes legyen. A mindössze 75 g súlyú kés rendkívül könnyű, így hosszabb munkafolyamatok során sem fárasztja a kezet.
Tegye még élvezetesebbé a kenyérszeletelést a Satake Tomoko kenyérvágó késsel! Szerezze be most, és tapasztalja meg a sima és pontos szeletek nyújtotta kényelmet minden nap!</t>
        </is>
      </c>
    </row>
    <row r="436">
      <c r="A436" s="3" t="inlineStr">
        <is>
          <t>805-544</t>
        </is>
      </c>
      <c r="B436" s="2" t="inlineStr">
        <is>
          <t>Satake 805-544 Daichi Gyuto (Séf) japán damaszk konyhakés, 20 cm-es penge hossz, damaszk acél, pakka fa markolat</t>
        </is>
      </c>
      <c r="C436" s="1" t="n">
        <v>55790.0</v>
      </c>
      <c r="D436" s="7" t="n">
        <f>HYPERLINK("https://www.somogyi.hu/product/satake-805-544-daichi-gyuto-sef-japan-damaszk-konyhakes-20-cm-es-penge-hossz-damaszk-acel-pakka-fa-markolat-805-544-19087","https://www.somogyi.hu/product/satake-805-544-daichi-gyuto-sef-japan-damaszk-konyhakes-20-cm-es-penge-hossz-damaszk-acel-pakka-fa-markolat-805-544-19087")</f>
        <v>0.0</v>
      </c>
      <c r="E436" s="7" t="n">
        <f>HYPERLINK("https://www.somogyi.hu/data/img/product_main_images/small/19087.jpg","https://www.somogyi.hu/data/img/product_main_images/small/19087.jpg")</f>
        <v>0.0</v>
      </c>
      <c r="F436" s="2" t="inlineStr">
        <is>
          <t>4956617805544</t>
        </is>
      </c>
      <c r="G436" s="4" t="inlineStr">
        <is>
          <t>Szeretné tudni, melyik konyhai eszköz képes megkönnyíteni és meggyorsítani a konyhai szeletelési feladatokat? A Satake Daichi Gyuto 20 cm-es japán damaszk konyhakés éppen erre lett tervezve. 
Ez a kés kiválóan alkalmas zöldségek, gyümölcsök, húsok és halak pontos és precíz vágására, és kialakításának köszönhetően a legkülönfélébb filézési feladatokat is könnyedén elvégezheti vele, legyen szó csirke csontozásáról vagy kisebb halak filézéséről.
Kiemelkedő minőség és innovatív tervezés
A 69 rétegű kovácsolt damaszk acél penge nemcsak lenyűgöző megjelenést biztosít, hanem a tartósság és a pengeélesség garanciája is. A penge közepén található MVS10Cob mag magas széntartalmának köszönhetően rendkívül éles, ugyanakkor ellenáll a kopásnak, így hosszú távon is megőrzi kiváló vágási teljesítményét. A 20 cm-es penge optimális hosszúságú a precíz vágásokhoz, míg a kétoldalas szimmetrikus vágóél biztosítja a sima és egyenletes szeletelést.
Kényelmes fogás, elegáns megjelenés
A kényelmes és tartós pakka fa markolat nemcsak esztétikus, hanem ergonomikus kialakításának köszönhetően biztos fogást nyújt, még hosszabb használat során is. A kés teljes hossza 33,5 cm, amely tökéletes egyensúlyt biztosít a pengével, a mindössze 170 grammos súly pedig könnyed manőverezhetőséget kínál minden feladathoz.
Kiváló választás hobbi és profi szakácsok számára
A 61 HRC keménységű penge lehetővé teszi, hogy még a legnehezebb konyhai feladatokkal is megbirkózzon, a penge vastagsága pedig mindössze 2,1 mm, amely különösen precíz vágásokat tesz lehetővé. A Satake Daichi Gyuto minden konyhában alapvető eszköz, legyen szó amatőr vagy profi szakácsról. Ez a kés nem csupán szerszám, hanem a konyhai kreativitás és hatékonyság valódi forrása.
A japán kézművesség és nyugati funkcionalitás találkozása
A gyuto kés története a Meiji-korra nyúlik vissza, amikor Japán nyitott a nyugati kultúra felé. A ""gyuto"" szó jelentése ""marhakés"", de ma már ez a típusú kés az egyik legsokoldalúbb eszköz a konyhában. A japán mesterek által készített vékony, rendkívül éles penge és a nyugati stílusú séfkés kombinációja tökéletesen megfelel a modern konyhai követelményeknek.
Ne várjon tovább! Szerezze be a konyha lelkét, és tapasztalja meg a tökéletes vágás örömét a Satake Daichi Gyuto konyhakéssel!</t>
        </is>
      </c>
    </row>
    <row r="437">
      <c r="A437" s="3" t="inlineStr">
        <is>
          <t>803-649</t>
        </is>
      </c>
      <c r="B437" s="2" t="inlineStr">
        <is>
          <t>Satake 803-649 Satoru Nakiri japán konyhakés, 16 cm penge hossz, rozsdamentes acél, kemény műanyag markolat</t>
        </is>
      </c>
      <c r="C437" s="1" t="n">
        <v>16490.0</v>
      </c>
      <c r="D437" s="7" t="n">
        <f>HYPERLINK("https://www.somogyi.hu/product/satake-803-649-satoru-nakiri-japan-konyhakes-16-cm-penge-hossz-rozsdamentes-acel-kemeny-muanyag-markolat-803-649-19107","https://www.somogyi.hu/product/satake-803-649-satoru-nakiri-japan-konyhakes-16-cm-penge-hossz-rozsdamentes-acel-kemeny-muanyag-markolat-803-649-19107")</f>
        <v>0.0</v>
      </c>
      <c r="E437" s="7" t="n">
        <f>HYPERLINK("https://www.somogyi.hu/data/img/product_main_images/small/19107.jpg","https://www.somogyi.hu/data/img/product_main_images/small/19107.jpg")</f>
        <v>0.0</v>
      </c>
      <c r="F437" s="2" t="inlineStr">
        <is>
          <t>4956617803649</t>
        </is>
      </c>
      <c r="G437" s="4" t="inlineStr">
        <is>
          <t>Szeretné tökéletes pontossággal és könnyedséggel aprítani a zöldségeket? A Satake 803-649 Satoru Nakiri japán konyhakés tökéletes választás, ha szeretné konyhai feladatait egy professzionális, precíz és könnyen kezelhető eszközzel elvégezni. 
Kialakításának köszönhetően ez a 16 cm-es penge különösen alkalmas zöldségek, gyümölcsök és fűszernövények vékony szeletelésére és aprítására. Legyen szó salátáról vagy bonyolultabb recept előkészítéséről, ezzel a késsel könnyedén dolgozhat, miközben megtartja a hozzávalók frissességét és textúráját.
Prémium minőségű penge a tökéletes vágásokért
A penge anyaga AUS-8A rozsdamentes acél, amelyet kiváló tartósság és korrózióállóság jellemez. Ez a 58-59 HRC keménységű acél hosszú ideig megőrzi az élességet, így garantálja, hogy a kés minden használat során precíz vágásokat biztosítson. A penge mindössze 1,7 mm vastag, ami lehetővé teszi a finom szeletek készítését anélkül, hogy összenyomná a zöldségeket vagy gyümölcsöket.
A penge téglalap alakú és egyenes vágó éllel rendelkezik, amely megkönnyíti a függőleges vonalú vágást. Ez különösen hasznos olyan technikáknál, mint a julienne vagy a chiffonade, amikor pontos és egyenletes szeletekre van szükség. A penge szélessége 4,8 cm, ami további stabilitást ad a vágási feladatok során.
Ergonomikus és tartós markolat
A markolat kemény műanyag laminátumból készült, ami nemcsak tartós, de rendkívül kényelmes is. A kialakítás során nagy figyelmet fordítottak arra, hogy hosszabb használat közben is könnyű legyen vele dolgozni, anélkül, hogy megterhelné a kezet. A kés súlya mindössze 175 g, így hosszabb ideig is kényelmesen használható anélkül, hogy elfáradna.
A japán tradíciók és modern technológia találkozása
A nakiri kés eredete a 17. századi Edo-korig vezethető vissza. A ""nakiri"" szó jelentése ""zöldségvágó"", és a kés kialakítása teljes mértékben ezt a célt szolgálja. A penge egyenes vonala ideális a tolóvágásokhoz, amelyek a japán konyhában különösen gyakoriak. Ez a technika tiszta, egyenes vágást biztosít, amely különösen hasznos zöldségek és fűszerek aprításakor. Az Edo-korban a növényi alapú étrendek népszerűségének növekedése vezetett a specializált zöldségkések, például a nakiri kialakulásához. Azóta ez a kés elengedhetetlenné vált minden olyan konyhában, ahol fontos a precíz zöldségszeletelés.
Kiváló eszköz a mindennapi főzéshez
A Satake Satoru Nakiri kés minden konyhai feladatnál megállja a helyét, ahol precíz és gyors vágásra van szükség. A teljes hossza 29,7 cm, ami elegendő irányítást és egyensúlyt biztosít ahhoz, hogy hatékonyan dolgozhasson vele. Legyen szó kezdő szakácsról vagy tapasztalt gasztronómiai szakemberről, ezzel a késsel minden vágási feladat könnyen és hatékonyan elvégezhető.
Ne hagyja ki a lehetőséget! Szerezze be a Satake Satoru Nakiri japán kést, és emelje főzési élményeit új szintre, miközben precízen és könnyedén dolgozik minden alkalommal!</t>
        </is>
      </c>
    </row>
    <row r="438">
      <c r="A438" s="3" t="inlineStr">
        <is>
          <t>803-632</t>
        </is>
      </c>
      <c r="B438" s="2" t="inlineStr">
        <is>
          <t>Satake 803-632 Satoru Santoku japán konyhakés, 17 cm penge hossz, rozsdamentes acél, kemény műanyag markolat</t>
        </is>
      </c>
      <c r="C438" s="1" t="n">
        <v>16490.0</v>
      </c>
      <c r="D438" s="7" t="n">
        <f>HYPERLINK("https://www.somogyi.hu/product/satake-803-632-satoru-santoku-japan-konyhakes-17-cm-penge-hossz-rozsdamentes-acel-kemeny-muanyag-markolat-803-632-19108","https://www.somogyi.hu/product/satake-803-632-satoru-santoku-japan-konyhakes-17-cm-penge-hossz-rozsdamentes-acel-kemeny-muanyag-markolat-803-632-19108")</f>
        <v>0.0</v>
      </c>
      <c r="E438" s="7" t="n">
        <f>HYPERLINK("https://www.somogyi.hu/data/img/product_main_images/small/19108.jpg","https://www.somogyi.hu/data/img/product_main_images/small/19108.jpg")</f>
        <v>0.0</v>
      </c>
      <c r="F438" s="2" t="inlineStr">
        <is>
          <t>4956617803632</t>
        </is>
      </c>
      <c r="G438" s="4" t="inlineStr">
        <is>
          <t>Egy sokoldalú kés szeretne, amely szinte minden konyhai feladatot megkönnyít? A Satake 803-632 Satoru Santoku japán konyhakés ideális választás azok számára, akik precíziós eszközt keresnek zöldségek, húsok vagy halak előkészítéséhez. 
A 17 cm-es penge hosszának köszönhetően könnyedén végezhet szeletelést, kockázást vagy aprítást, miközben a penge széles kialakítása segít az aprított alapanyagok gyors összeszedésében is.
Kiemelkedő anyaghasználat és penge kialakítás
A penge anyaga AUS-8A rozsdamentes acél, amely magas fokú tartósságot és korrózióállóságot biztosít. A penge 58-59 HRC keménysége garantálja, hogy hosszú ideig megőrzi élességét, ezáltal minden szeletelési feladatot simán és pontosan végezhet el. A mindössze 1,7 mm vastag penge nemcsak könnyen irányítható, de a visszagörbülő él kialakítása kifejezetten megkönnyíti a gyors aprítást és szeletelést is. A kétoldalas, szimmetrikus vágóél minden felhasználónak – jobb- és balkezes szakácsoknak egyaránt – tökéletes élményt nyújt.
Kényelmes fogás, precíz irányítás
A markolat kemény műanyag laminátumból készült, amely tartós, könnyen tisztítható és ergonomikus. A kényelmes, magasított kialakítás lehetővé teszi, hogy az ujjak ne érjenek hozzá sem a vágódeszkához, sem az ételhez, így biztosítva a zavartalan, kényelmes munkavégzést. A kés mindössze 130 g-os súlya tökéletes egyensúlyt nyújt a könnyed használathoz, miközben a teljes hossz 30,5 cm, így elegendő helyet biztosít a biztos fogáshoz és a pontos vágásokhoz.
A santoku kés története és funkciói
A santoku kés eredete Japánba vezethető vissza, a Showa-korszak idejére, amikor a japán konyhakultúrának alkalmazkodnia kellett a nyugati ételekhez és alapanyagokhoz. A név maga három fő funkciójára utal: szeletelés, kockázás és aprítás. A kés pengéjének formája és mérete lehetővé teszi, hogy könnyedén elvégezze mindhárom feladatot, így ideális választás húsok, halak és zöldségek előkészítéséhez. A penge hossza, ami ebben az esetben 17 cm, a legtöbb alapanyag esetén optimális, legyen szó vékony szeletek, precíz kockák vagy aprított fűszerek elkészítéséről.
A santoku kést gyakran emlegetik a „három erényű késként”, mivel ezekre a fő konyhai feladatokra lett kialakítva. A modern konyhák egyik alapvető eszköze lett, népszerűsége világszerte az utóbbi évtizedekben nőtt meg, köszönhetően sokoldalúságának és praktikus kialakításának.
Tökéletes választás bármely konyhába
Legyen Ön hobbi szakács vagy profi, a Satake Satoru Santoku kés minden konyhában alapvető eszköz. A penge szélessége 4,8 cm, ami kiváló stabilitást és irányíthatóságot biztosít, különösen akkor, ha nagyobb mennyiségű hozzávalót kell előkészítenie. Könnyű súlya, precíz vágóéle és kényelmes markolata biztosítja, hogy a munka mindig gyors és hatékony legyen, miközben a rozsdamentes acél penge megbízható és hosszú élettartamú.
Ne habozzon tovább! Fedezze fel a Satake Satoru Santoku kés három fő erényét, és tegye élvezetessé a mindennapi főzést ezzel a professzionális japán késsel!</t>
        </is>
      </c>
    </row>
    <row r="439">
      <c r="A439" s="3" t="inlineStr">
        <is>
          <t>802-789</t>
        </is>
      </c>
      <c r="B439" s="2" t="inlineStr">
        <is>
          <t>Satake 802-789 Satoru Gyuto (Séf) japán konyhakés, 21 cm penge hossz, rozsdamentes acél, kemény műanyag markolat</t>
        </is>
      </c>
      <c r="C439" s="1" t="n">
        <v>18990.0</v>
      </c>
      <c r="D439" s="7" t="n">
        <f>HYPERLINK("https://www.somogyi.hu/product/satake-802-789-satoru-gyuto-sef-japan-konyhakes-21-cm-penge-hossz-rozsdamentes-acel-kemeny-muanyag-markolat-802-789-19104","https://www.somogyi.hu/product/satake-802-789-satoru-gyuto-sef-japan-konyhakes-21-cm-penge-hossz-rozsdamentes-acel-kemeny-muanyag-markolat-802-789-19104")</f>
        <v>0.0</v>
      </c>
      <c r="E439" s="7" t="n">
        <f>HYPERLINK("https://www.somogyi.hu/data/img/product_main_images/small/19104.jpg","https://www.somogyi.hu/data/img/product_main_images/small/19104.jpg")</f>
        <v>0.0</v>
      </c>
      <c r="F439" s="2" t="inlineStr">
        <is>
          <t>4956617802789</t>
        </is>
      </c>
      <c r="G439" s="4" t="inlineStr">
        <is>
          <t>Olyan sokoldalú kést keres, amely szinte minden konyhai feladatot megkönnyít? A Satake 802-789 Satoru Gyuto japán séfkés a konyha egyik legfontosabb eszköze. 21 cm-es rozsdamentes acél pengéje nemcsak a zöldségek és gyümölcsök szeletelésére alkalmas, hanem a húsok és halak filézése, csontozása és leválasztása is egyszerűvé válik vele. A gyuto hagyományos japán kialakítása és a nyugati stílusú séfkések legjobb tulajdonságai egyesülnek ebben a kiváló minőségű, sokoldalú konyhakésben.
Prémium minőségű penge a maximális teljesítményért
A penge AUS-8A rozsdamentes acélból készült, amely kivételes tartósságot és élességet biztosít. Az acél magas korrózióállósága hosszú élettartamot garantál, miközben a 58-59 HRC keménységnek köszönhetően sokáig megőrzi borotvaéles élét. A 21 cm hosszúságú penge ideális egyensúlyt biztosít a precíz irányíthatóság és a nagyobb vágási felületek hatékony feldolgozása között. A vékony, 2,6 mm vastagságú penge könnyed vágásokat tesz lehetővé, legyen szó húsokról, halakról vagy zöldségekről, így minden vágás sima és egyenletes marad.
A kétoldalas szimmetrikus vágó él lehetővé teszi a penge sokoldalú használatát, függetlenül attól, hogy jobb- vagy balkezes szakácsról van szó. A penge szélessége 4,6 cm, ami megfelelő stabilitást nyújt a különböző vágási technikákhoz, például a filézéshez vagy a szeleteléshez.
Ergonomikus markolat a kényelmes használathoz
A markolat kemény műanyag laminátumból készült, amely tartós, könnyen tisztítható, és kényelmes fogást biztosít még hosszabb használat során is. Az ergonomikus kialakítás garantálja, hogy a kés kényelmesen illeszkedik a kézbe, ezáltal csökkenti a fáradtságot, még hosszabb munkafolyamatok esetén is. A kés súlya mindössze 173 g, amely lehetővé teszi a könnyű manőverezhetőséget, így a finomabb vágási műveletek is egyszerűen elvégezhetők.
A gyuto kés története és sokoldalúsága
A gyuto kés eredete a Meiji-korra (1868-1912) vezethető vissza, amikor Japán nyitott a nyugati kultúra felé, és a marhahús fogyasztása egyre népszerűbbé vált az országban. A gyuto szó jelentése ""marhakés"", hiszen eredetileg a marhahús feldolgozására fejlesztették ki, ám hamar kiderült, hogy rendkívül sokoldalú eszköz, és más alapanyagokhoz is kiválóan használható. A japán mesterek által megalkotott vékonyabb penge és éles hegy rendkívül hatékony vágást biztosít, és minden konyhai feladatban megállja a helyét.
A gyuto ma már a világ egyik legnépszerűbb konyhakése, amelynek egyedülálló előnye, hogy mind a nyugati, mind a japán konyhai technikákhoz tökéletesen alkalmazható. A Satake Satoru Gyuto séfkés tökéletes eszköz mindazok számára, akik szeretnék konyhájukban a hagyományos japán kézművességet a modern konyha sokoldalúságával ötvözni.
Tökéletes választás otthoni és profi szakácsok számára
A Satake Satoru Gyuto kés nélkülözhetetlen eszköz minden konyhában, ahol fontos a precíz és hatékony munka. Kialakítása lehetővé teszi a sokféle vágási technika könnyű elsajátítását és alkalmazását, legyen szó filézésről, csontozásról, vagy akár zöldségek aprításáról. A teljes hossza 34,1 cm, ami ideális méretet biztosít a stabilitás és irányíthatóság szempontjából.
Válassza a Satake Satoru Gyuto séfkést, és élvezze a precíz vágás és sokoldalúság nyújtotta kényelmet minden nap a konyhában!</t>
        </is>
      </c>
    </row>
    <row r="440">
      <c r="A440" s="3" t="inlineStr">
        <is>
          <t>805-551</t>
        </is>
      </c>
      <c r="B440" s="2" t="inlineStr">
        <is>
          <t>Satake 805-551 Daichi japán damaszk szeletelő kés, 20 cm penge hossz, damaszk acél, pakka fa markolat</t>
        </is>
      </c>
      <c r="C440" s="1" t="n">
        <v>49390.0</v>
      </c>
      <c r="D440" s="7" t="n">
        <f>HYPERLINK("https://www.somogyi.hu/product/satake-805-551-daichi-japan-damaszk-szeletelo-kes-20-cm-penge-hossz-damaszk-acel-pakka-fa-markolat-805-551-19102","https://www.somogyi.hu/product/satake-805-551-daichi-japan-damaszk-szeletelo-kes-20-cm-penge-hossz-damaszk-acel-pakka-fa-markolat-805-551-19102")</f>
        <v>0.0</v>
      </c>
      <c r="E440" s="7" t="n">
        <f>HYPERLINK("https://www.somogyi.hu/data/img/product_main_images/small/19102.jpg","https://www.somogyi.hu/data/img/product_main_images/small/19102.jpg")</f>
        <v>0.0</v>
      </c>
      <c r="F440" s="2" t="inlineStr">
        <is>
          <t>4956617805551</t>
        </is>
      </c>
      <c r="G440" s="4" t="inlineStr">
        <is>
          <t>Egy olyan kést keres, amely könnyedén szeleteli a legfinomabb sonkákat és sülteket, megőrizve azok tökéletes textúráját? A Satake 805-551 Daichi japán damaszk szeletelő kés 20 cm-es pengéjével a legjobb választás, ha precíz és sima vágásokat szeretne elérni. 
Ez a speciális kialakítású kés ideális választás szárnyasok, különféle sültek és sonkák pontos szeleteléséhez, amelyet a hagyományos kések vastag pengéje gyakran megnehezít.
Magas minőségű penge a precíz szeleteléshez
A penge anyaga 69 rétegű kovácsolt damaszk acél, amely magában foglalja az MVS10Cob magot. Ez az anyag nemcsak kivételes élességet, hanem rendkívüli tartósságot is garantál, így hosszú ideig megőrzi a kés élét. A 20 cm hosszúságú penge vékony és keskeny kialakítása lehetővé teszi a sima, egyenletes szeletelést a hús teljes felületén, elkerülve a szálas, egyenetlen vágásokat.
A kétoldalas szimmetrikus vágóél biztosítja, hogy minden irányban könnyedén lehessen szeletelni, függetlenül attól, hogy jobb- vagy balkezes használatról van szó. A penge 2,1 mm vastagságú, így garantált a pontos és hatékony vágás anélkül, hogy elakadna a húsban.
Ergonomikus és esztétikus markolat
A pakka fa markolat nemcsak elegáns megjelenést biztosít, hanem ergonomikus kialakításának köszönhetően kényelmes fogást nyújt még hosszabb használat során is. A kés teljes hossza 33,2 cm, súlya mindössze 150 g, így könnyedén irányítható és kézre áll, még akkor is, ha nagyobb adagokat kell szeletelni. Ez a könnyű kialakítás lehetővé teszi, hogy a vágási műveletek egyszerűek és fáradtságmentesek legyenek.
Hagyomány és modernitás találkozása
A szeletelőkés eredete több évszázadra nyúlik vissza, de a modern kézművesség és technológia révén a Satake 805-551 Daichi kés tökéletesíti ezt a hagyományt. A középkori Európában kialakult sonkakések elődei ugyan nem voltak olyan fejlett technológiával készítve, mint ez a darab, de a funkció ugyanaz maradt: a finom, egyenletes szeletek elkészítése.
A tökéletes eszköz minden konyhában
Ez a 60 HRC keménységű penge ideális választás mind a hobbi szakácsoknak, mind a profi séfeknek, akik a legfinomabb ételek elkészítésére törekednek. A Satake szeletelőkés precizitása és élessége nélkülözhetetlen eszköz a mindennapi konyhai munkában, és garantálja, hogy az ételek mindig a legjobb formájukat hozzák.
Ne habozzon, tegye a kosarába a Satake Daichi szeletelőkést, és tapasztalja meg a tökéletes szeletelés élményét minden alkalommal!</t>
        </is>
      </c>
    </row>
    <row r="441">
      <c r="A441" s="3" t="inlineStr">
        <is>
          <t>805-810</t>
        </is>
      </c>
      <c r="B441" s="2" t="inlineStr">
        <is>
          <t>Satake 805-810 Megumi univerzális japán konyhai kés, rozsdamentes acél, 12 cm pengehossz, gumifa markolat</t>
        </is>
      </c>
      <c r="C441" s="1" t="n">
        <v>8390.0</v>
      </c>
      <c r="D441" s="7" t="n">
        <f>HYPERLINK("https://www.somogyi.hu/product/satake-805-810-megumi-univerzalis-japan-konyhai-kes-rozsdamentes-acel-12-cm-pengehossz-gumifa-markolat-805-810-19143","https://www.somogyi.hu/product/satake-805-810-megumi-univerzalis-japan-konyhai-kes-rozsdamentes-acel-12-cm-pengehossz-gumifa-markolat-805-810-19143")</f>
        <v>0.0</v>
      </c>
      <c r="E441" s="7" t="n">
        <f>HYPERLINK("https://www.somogyi.hu/data/img/product_main_images/small/19143.jpg","https://www.somogyi.hu/data/img/product_main_images/small/19143.jpg")</f>
        <v>0.0</v>
      </c>
      <c r="F441" s="2" t="inlineStr">
        <is>
          <t>4956617805810</t>
        </is>
      </c>
      <c r="G441" s="4" t="inlineStr">
        <is>
          <t>Hogyan válhat a mindennapi konyhai feladatok mestere egy sokoldalú és elegáns eszköz segítségével? A Satake 805-810 Megumi univerzális japán konyhai kés ideális választás azok számára, akik kiváló minőségű, sokoldalú és tartós konyhai eszközt keresnek. A 12 cm hosszú, kétoldalas szimmetrikus éllel ellátott penge és az ergonomikus gumifa markolat tökéletes egyensúlyt teremt a precíziós vágások és a könnyű használat között. Ez a kés a japán kések hagyományos minőségét és modern funkcionalitását egyesíti.
Kiváló minőségű penge a mindennapi használathoz 
A penge U420J2 rozsdamentes acélból készült, amely a Nippon Koshuha technológiájának köszönhetően kiemelkedő élességet és tartósságot nyújt. A 56 HRC keménységű acél biztosítja, hogy a kés hosszan megtartsa élességét, miközben könnyen fenntartható. A 12 cm-es penge hosszúság ideális a mindennapi konyhai feladatokhoz, például zöldségek, gyümölcsök aprításához, húsok szeleteléséhez vagy kisebb konyhai munkákhoz.
Kétoldalas szimmetrikus él a könnyű használat érdekében 
A kétoldalas vágóél kialakítás biztosítja a sokoldalúságot, amelyet jobb- és balkezes felhasználók egyaránt élvezhetnek. Az egyenletesen elosztott szimmetria és a penge 1,9 mm-es vastagsága lehetővé teszi a pontos és gyors vágásokat, anélkül hogy az alapanyag deformálódna vagy sérülne.
Ergonomikus dizájn és természetes anyagok 
A kés markolata gumifából készült, amely nemcsak esztétikus, hanem kényelmes és stabil fogást is biztosít. Az ergonomikus kialakítás lehetővé teszi, hogy hosszabb munkafolyamatok során is kényelmesen dolgozzon, miközben a kés mindössze 55 g súlyú, ami könnyed és precíz használatot tesz lehetővé. Az összesen 23,3 cm-es teljes hosszúság harmonikus arányokat biztosít, amely ideális mind otthoni, mind professzionális környezetben.
Miért válassza a Satake 805-810 Megumi univerzális japán konyhai kést?
 – Sokoldalú kialakítás mindennapi konyhai feladatokhoz. 
– Kiváló minőségű, tartós rozsdamentes acél penge.
 – Kétoldalas szimmetrikus él, amely jobb- és balkezes felhasználók számára is ideális. 
– Ergonomikus gumifa markolat a kényelmes fogás érdekében. 
– Könnyű és jól kiegyensúlyozott kialakítás precíz munkavégzéshez.
Emelje konyhája színvonalát a Satake Megumi univerzális japán konyhai késsel! Tapasztalja meg a japán kések precizitását, minőségét és eleganciáját minden főzési feladat során.</t>
        </is>
      </c>
    </row>
    <row r="442">
      <c r="A442" s="3" t="inlineStr">
        <is>
          <t>805-858</t>
        </is>
      </c>
      <c r="B442" s="2" t="inlineStr">
        <is>
          <t>Satake 805-858 Megumi Gyuto (Séf) japán konyhakés, rozsdamentes acél, 21 cm pengehossz, gumifa markolat</t>
        </is>
      </c>
      <c r="C442" s="1" t="n">
        <v>13490.0</v>
      </c>
      <c r="D442" s="7" t="n">
        <f>HYPERLINK("https://www.somogyi.hu/product/satake-805-858-megumi-gyuto-sef-japan-konyhakes-rozsdamentes-acel-21-cm-pengehossz-gumifa-markolat-805-858-19141","https://www.somogyi.hu/product/satake-805-858-megumi-gyuto-sef-japan-konyhakes-rozsdamentes-acel-21-cm-pengehossz-gumifa-markolat-805-858-19141")</f>
        <v>0.0</v>
      </c>
      <c r="E442" s="7" t="n">
        <f>HYPERLINK("https://www.somogyi.hu/data/img/product_main_images/small/19141.jpg","https://www.somogyi.hu/data/img/product_main_images/small/19141.jpg")</f>
        <v>0.0</v>
      </c>
      <c r="F442" s="2" t="inlineStr">
        <is>
          <t>4956617805858</t>
        </is>
      </c>
      <c r="G442" s="4" t="inlineStr">
        <is>
          <t>Hogyan érheti el a konyhában a tökéletes egyensúlyt a funkcionalitás és az elegancia között? A Satake 805-858 Megumi Gyuto (Séf) japán konyhakés a séfkések királyaként ismert, és minden főzési igény kielégítésére készült. A 21 cm-es rozsdamentes acél penge, a gumifa markolat, valamint a kétoldalas szimmetrikus élezés ideális választássá teszi ezt az eszközt a precíz és gyors munkavégzéshez. A klasszikus japán kézművességet és a modern dizájnt ötvözve ez a kés minden konyhai feladatot élménnyé varázsol.
Prémium minőségű penge a kimagasló teljesítményért 
A kés pengéje U420J2 rozsdamentes acélból készült, amely kiváló élességet, tartósságot és könnyű karbantartást biztosít. A 56 HRC keménységű acél optimális egyensúlyt teremt az éltartósság és az élezhetőség között, így a kés hosszabb ideig megőrzi eredeti élességét. A 21 cm hosszú penge a Gyuto késekre jellemző sokoldalúságot kínál, így alkalmas hús, zöldség, gyümölcs szeletelésére és aprítására.
Kétoldalas szimmetrikus él a pontos vágásokért 
A szimmetrikus élezés lehetővé teszi, hogy a kés jobb- és balkezes szakácsok számára is kényelmesen használható legyen. A penge 1,6 mm-es vastagsága és 4,6 cm-es szélessége biztosítja a sima és precíz vágásokat, miközben könnyedén siklik az alapanyagokon. Ez a kialakítás tökéletesen illeszkedik mind a profi szakácsok, mind a lelkes amatőrök kezébe.
Ergonomikus és természetes markolat a maximális kényelemért 
A kés gumifa markolata nemcsak esztétikus, hanem rendkívül kényelmes fogást is biztosít, amely hosszabb használat során is kényelmes marad. Az ergonomikus kialakítás lehetővé teszi a precíz mozdulatokat, miközben a kés mindössze 118 g súlyú, így könnyed és fáradságmentes használatot tesz lehetővé. Az összesen 33,8 cm-es teljes hossz harmonikus egyensúlyt teremt a penge és a markolat között.
Miért válassza a Satake 805-858 Megumi Gyuto konyhakést? 
– Kiváló minőségű rozsdamentes acél penge, amely hosszan tartó élességet biztosít. 
– Ergonomikus és természetes gumifa markolat a kényelmes használatért. 
– Kétoldalas szimmetrikus él, amely jobb- és balkezesek számára is ideális. 
– Könnyű, mégis stabil kialakítás, amely megkönnyíti a precíz munkavégzést. 
– Sokoldalú használatra tervezve, legyen szó hús, zöldség vagy gyümölcs szeleteléséről.
Emelje konyhája színvonalát a Satake Megumi Gyuto japán séfkés segítségével! Tapasztalja meg a japán kések kifinomult precizitását és eleganciáját minden főzési feladat során.</t>
        </is>
      </c>
    </row>
    <row r="443">
      <c r="A443" s="6" t="inlineStr">
        <is>
          <t xml:space="preserve">   Háztartási gép, eszköz / Hőmérők</t>
        </is>
      </c>
      <c r="B443" s="6" t="inlineStr">
        <is>
          <t/>
        </is>
      </c>
      <c r="C443" s="6" t="inlineStr">
        <is>
          <t/>
        </is>
      </c>
      <c r="D443" s="6" t="inlineStr">
        <is>
          <t/>
        </is>
      </c>
      <c r="E443" s="6" t="inlineStr">
        <is>
          <t/>
        </is>
      </c>
      <c r="F443" s="6" t="inlineStr">
        <is>
          <t/>
        </is>
      </c>
      <c r="G443" s="6" t="inlineStr">
        <is>
          <t/>
        </is>
      </c>
    </row>
    <row r="444">
      <c r="A444" s="3" t="inlineStr">
        <is>
          <t>HG TM 01</t>
        </is>
      </c>
      <c r="B444" s="2" t="inlineStr">
        <is>
          <t>Home HG TM 01 digitális maghőmérő, méréshatár -50°C - +300°C, 15 cm-es mérőszonda</t>
        </is>
      </c>
      <c r="C444" s="1" t="n">
        <v>2590.0</v>
      </c>
      <c r="D444" s="7" t="n">
        <f>HYPERLINK("https://www.somogyi.hu/product/home-hg-tm-01-digitalis-maghomero-mereshatar-50-c-300-c-15-cm-es-meroszonda-hg-tm-01-17771","https://www.somogyi.hu/product/home-hg-tm-01-digitalis-maghomero-mereshatar-50-c-300-c-15-cm-es-meroszonda-hg-tm-01-17771")</f>
        <v>0.0</v>
      </c>
      <c r="E444" s="7" t="n">
        <f>HYPERLINK("https://www.somogyi.hu/data/img/product_main_images/small/17771.jpg","https://www.somogyi.hu/data/img/product_main_images/small/17771.jpg")</f>
        <v>0.0</v>
      </c>
      <c r="F444" s="2" t="inlineStr">
        <is>
          <t>5999084957933</t>
        </is>
      </c>
      <c r="G444" s="4" t="inlineStr">
        <is>
          <t>Szeretne mindig tökéletes pontossággal mérni konyhájában, legyen szó sültek, desszertek vagy akár italok készítéséről? A Home HG TM 01 digitális maghőmérő segítségével könnyedén és precízen ellenőrizheti ételei belső hőmérsékletét, így garantáltan a legjobb eredményt érheti el minden alkalommal! 
A -50°C és +300°C közötti széles méréshatár lehetővé teszi, hogy szinte bármilyen étel elkészítésénél alkalmazza, legyen szó lassan főtt, alacsony hőmérsékletű ételekről vagy magas hőfokon sütött fogásokról. A 15 cm hosszúságú mérőszonda elegendő mélységet biztosít ahhoz, hogy pontosan mérje az ételek belső hőmérsékletét, anélkül, hogy megégetné magát. A digitális kijelző könnyen leolvasható, és a hőmérséklet 0,1 °C vagy °F pontossággal jelenik meg, amely Celsiusra vagy Fahrenheitre is állítható, attól függően, hogy melyik skálát részesíti előnyben. A maghőmérő egyszerűen ki- és bekapcsolható, így energiatakarékosan használható. A készülék energiaellátását egy 1,5 V-os (LR44) gombelem biztosítja, amely a csomag része, így azonnal használatba veheti. Kompakt mérete (26 x 3 x 1,5 cm) miatt könnyen elfér a fiókban vagy akár a konyhai kötény zsebében is, így mindig kéznél lehet, amikor szüksége van rá.
Válassza a Home HG TM 01 digitális maghőmérőt, ha pontos és megbízható mérésekre vágyik a konyhájában! Készítsen tökéletes ételeket minden alkalommal, és biztosítsa a legjobb ízeket a precíz hőmérséklet-ellenőrzéssel!</t>
        </is>
      </c>
    </row>
    <row r="445">
      <c r="A445" s="3" t="inlineStr">
        <is>
          <t>10-274-040</t>
        </is>
      </c>
      <c r="B445" s="2" t="inlineStr">
        <is>
          <t>NAVA 10-274-040 Acer digitális maghőmérő, 22 cm, LCD kijelző, rozsdamentes acél, -30 °C - 250 °C, 1 x 1.5V LR44</t>
        </is>
      </c>
      <c r="C445" s="1" t="n">
        <v>4190.0</v>
      </c>
      <c r="D445" s="7" t="n">
        <f>HYPERLINK("https://www.somogyi.hu/product/nava-10-274-040-acer-digitalis-maghomero-22-cm-lcd-kijelzo-rozsdamentes-acel-30-c-250-c-1-x-1-5v-lr44-10-274-040-15824","https://www.somogyi.hu/product/nava-10-274-040-acer-digitalis-maghomero-22-cm-lcd-kijelzo-rozsdamentes-acel-30-c-250-c-1-x-1-5v-lr44-10-274-040-15824")</f>
        <v>0.0</v>
      </c>
      <c r="E445" s="7" t="n">
        <f>HYPERLINK("https://www.somogyi.hu/data/img/product_main_images/small/15824.jpg","https://www.somogyi.hu/data/img/product_main_images/small/15824.jpg")</f>
        <v>0.0</v>
      </c>
      <c r="F445" s="2" t="inlineStr">
        <is>
          <t>5205746175370</t>
        </is>
      </c>
      <c r="G445" s="4" t="inlineStr">
        <is>
          <t>Ön is szeretné pontosan tudni, hogy ételei elkészültek, vagy megfelelő hőmérsékleten sülnek-e? A NAVA 10-274-040 Acer digitális maghőmérővel mindezt tökéletesen ellenőrizheti!
Ez a digitális maghőmérő rendelkezik egy könnyen olvasható LCD kijelzővel, mely megmutatja az aktuális hőmérsékletet és a sütési időt is. A hőmérséklet mérési tartománya -30°C és +250°C (-22°F és +482°F) között van, így szinte minden főzési szituációban használható. A készülék rozsdamentes acél szondája 22 cm hosszú, ami biztonságos használatot garantál sütés közben.
A bekapcsoló/kikapcsoló gomb mellett hőmérséklet üzemmód váltó gomb is található a fogantyú tetején, mely Celsius és Fahrenheit közötti váltást tesz lehetővé. A hozzáadott akasztónyílás a fogantyún a könnyű tárolást szolgálja, míg a szonda védőburkolata biztosítja a szonda épségét, amikor éppen nem használja.
Válassza a NAVA 10-274-040 Acer digitális maghőmérőt a pontos és megbízható hőmérséklet-méréshez, legyen szó grillezésről, otthoni főzésről vagy akár bébiételek elkészítéséről!</t>
        </is>
      </c>
    </row>
    <row r="446">
      <c r="A446" s="6" t="inlineStr">
        <is>
          <t xml:space="preserve">   Háztartási gép, eszköz / Szódakészítő gép, tartozék</t>
        </is>
      </c>
      <c r="B446" s="6" t="inlineStr">
        <is>
          <t/>
        </is>
      </c>
      <c r="C446" s="6" t="inlineStr">
        <is>
          <t/>
        </is>
      </c>
      <c r="D446" s="6" t="inlineStr">
        <is>
          <t/>
        </is>
      </c>
      <c r="E446" s="6" t="inlineStr">
        <is>
          <t/>
        </is>
      </c>
      <c r="F446" s="6" t="inlineStr">
        <is>
          <t/>
        </is>
      </c>
      <c r="G446" s="6" t="inlineStr">
        <is>
          <t/>
        </is>
      </c>
    </row>
    <row r="447">
      <c r="A447" s="3" t="inlineStr">
        <is>
          <t>MSO-TB001F-B</t>
        </is>
      </c>
      <c r="B447" s="2" t="inlineStr">
        <is>
          <t>Mysoda Toby MSO-TB001F-B, fekete színű, tartós biokompozitból készült, 2 db újrafelhasználható vizes palack tartozék, max. üzemi nyomás: 10 bar</t>
        </is>
      </c>
      <c r="C447" s="1" t="n">
        <v>46090.0</v>
      </c>
      <c r="D447" s="7" t="n">
        <f>HYPERLINK("https://www.somogyi.hu/product/mysoda-toby-mso-tb001f-b-fekete-szinu-tartos-biokompozitbol-keszult-2-db-ujrafelhasznalhato-vizes-palack-tartozek-max-uzemi-nyomas-10-bar-mso-tb001f-b-17871","https://www.somogyi.hu/product/mysoda-toby-mso-tb001f-b-fekete-szinu-tartos-biokompozitbol-keszult-2-db-ujrafelhasznalhato-vizes-palack-tartozek-max-uzemi-nyomas-10-bar-mso-tb001f-b-17871")</f>
        <v>0.0</v>
      </c>
      <c r="E447" s="7" t="n">
        <f>HYPERLINK("https://www.somogyi.hu/data/img/product_main_images/small/17871.jpg","https://www.somogyi.hu/data/img/product_main_images/small/17871.jpg")</f>
        <v>0.0</v>
      </c>
      <c r="F447" s="2" t="inlineStr">
        <is>
          <t>6430052009876</t>
        </is>
      </c>
      <c r="G447" s="4" t="inlineStr">
        <is>
          <t>Gondolkodott már azon, hogyan készíthet otthon környezetbarát módon friss, buborékos vizet? A Mysoda Toby MSO-TB001F-B buborékosvíz-készítő tökéletes választás az Ön számára. 
Ez a készülék fekete színben, tartós biokompozit alapanyagból készült, mely közel 100%-ban megújuló forrásokból származik. A készülék teste fenntartható, fa alapú kompozitból áll, amely hosszú élettartamot és környezetbarát használatot biztosít. A szett tartalmaz egy 0,5 literes és egy 1 literes újrafelhasználható vizes palackot, valamint egy CO2 palackot, így minden szükséges eszköz rendelkezésre áll az azonnali használathoz.
A Mysoda Toby matt felülettel és finoman látható farostokkal rendelkezik, így bármely konyhában elegáns és természetes megjelenést kölcsönöz. A készülék praktikus gyorszáras palack mechanizmussal van ellátva, amely megkönnyíti a palackok cseréjét és biztonságos rögzítését.
A készülék maximális üzemi nyomása 10 bar (145 Psi), így garantáltan tökéletes buborékos vizet készíthet. A 1 literes palack töltési térfogata maximum 0,85 liter (28,7 oz.), így mindig megfelelő mennyiségű frissítő ital áll rendelkezésre. A Mysoda Toby fagyálló fúvókával van felszerelve, ami tovább növeli a készülék sokoldalúságát és megbízhatóságát.
A Mysoda Toby használata nem igényel elektromos áramot, ami energiatakarékos és bárhol használhatóvá teszi. A finn design eleganciát és funkcionalitást kölcsönöz a készüléknek, amely mérete 15,3 x 40,8 x 27 cm, így könnyedén elfér bármely konyhapulton.
Szerezze be a Mysoda Toby MSO-TB001F-B készüléket még ma, és élvezze a fenntartható és frissítő buborékos víz élményét otthonában minden nap!</t>
        </is>
      </c>
    </row>
    <row r="448">
      <c r="A448" s="3" t="inlineStr">
        <is>
          <t>30151214</t>
        </is>
      </c>
      <c r="B448" s="2" t="inlineStr">
        <is>
          <t>Sodapop univerzális patron szódakészítő géphez, CO2 patron, 425g, 60-80 liter szóda elkészítéséhez</t>
        </is>
      </c>
      <c r="C448" s="1" t="n">
        <v>12290.0</v>
      </c>
      <c r="D448" s="7" t="n">
        <f>HYPERLINK("https://www.somogyi.hu/product/sodapop-univerzalis-patron-szodakeszito-gephez-co2-patron-425g-60-80-liter-szoda-elkeszitesehez-30151214-19029","https://www.somogyi.hu/product/sodapop-univerzalis-patron-szodakeszito-gephez-co2-patron-425g-60-80-liter-szoda-elkeszitesehez-30151214-19029")</f>
        <v>0.0</v>
      </c>
      <c r="E448" s="7" t="n">
        <f>HYPERLINK("https://www.somogyi.hu/data/img/product_main_images/small/19029.jpg","https://www.somogyi.hu/data/img/product_main_images/small/19029.jpg")</f>
        <v>0.0</v>
      </c>
      <c r="F448" s="2" t="inlineStr">
        <is>
          <t>4065672000327</t>
        </is>
      </c>
      <c r="G448" s="4" t="inlineStr">
        <is>
          <t>Kifogyott a szén-dioxid patron a szódagépéből, és azonnal pótolni szeretné? A Sodapop univerzális CO2 patronnal bármikor feltöltheti szódagépét, hogy újra élvezhesse a friss, szénsavas vizet. 
Ez a 425 g-os patron szinte minden háztartási szódagéppel kompatibilis, kivéve a Quick Connect rendszerrel rendelkező készülékeket, így nem kell aggódnia az illeszkedés miatt. Egy patronnal átlagosan 60-80 liter szódavizet készíthet, attól függően, hogy mennyire szénsavas vizet szeretne előállítani. A Sodapop patronokat minden alkalommal gondosan ellenőrizzük, magas nyomáson tisztítjuk, és élelmiszer-minőségű CO2 gázzal töltjük fel, hogy a legmagasabb színvonalú és biztonságos terméket kínáljuk Önnek. 
Németországban gyártott termék, így a minőség és a megbízhatóság garantált.
A szódagép használata nemcsak gyors és kényelmes megoldás a frissítő italok elkészítésére, de környezetbarát és gazdaságos választás is. Nem kell többé műanyag palackokkal terhelnie a környezetet, hiszen a Sodapop CO2 patronnal bármikor elkészítheti otthonában a kívánt mennyiségű szódavizet. Érdemes otthon két teli patront is tartani, hogy az egyik kifogyása esetén azonnal használhassa a másikat, és ne kelljen várnia a cserepatron beszerzésére.
Használati utasítás:
1. Távolítsa el a védőfóliát a patronról.
2. Csavarja le a kupakot.
3. Helyezze be a patront a szódagépbe.
Biztonsági figyelmeztetések:
* Nyomás alatt lévő gázt tartalmaz; melegítés hatására felrobbanhat.
* Napfénytől és 50 °C feletti hőmérséklettől védeni kell.
* Jól szellőző helyen kell tartani.
* Tárolja hűvös és száraz helyen.
A patronokat könnyedén cserélheti a Media Markt, Aldi, és Beston üzletekben, így mindig biztosíthatja otthonában a folyamatos szódagyártást. Az üres patronok cseréje a kizárólag a kijelölt cserepontokon lehetséges, cégünk patront nem cserél.
Ne várjon tovább, szerezze be most a Sodapop univerzális CO2 patront, és biztosítsa, hogy soha ne fogyjon ki a szénsavas víz készítéséhez szükséges szén-dioxid!</t>
        </is>
      </c>
    </row>
    <row r="449">
      <c r="A449" s="3" t="inlineStr">
        <is>
          <t>HGSZG1000P</t>
        </is>
      </c>
      <c r="B449" s="2" t="inlineStr">
        <is>
          <t>Home HGSZG1000P vizes palack, HGSZG1000 szódagéphez, BPA mentes, PET műanyag, rozsdamentes acél fedő és talp, 1 L, 850 ml szénsavasítható</t>
        </is>
      </c>
      <c r="C449" s="1" t="n">
        <v>3790.0</v>
      </c>
      <c r="D449" s="7" t="n">
        <f>HYPERLINK("https://www.somogyi.hu/product/home-hgszg1000p-vizes-palack-hgszg1000-szodagephez-bpa-mentes-pet-muanyag-rozsdamentes-acel-fedo-es-talp-1-l-850-ml-szensavasithato-hgszg1000p-18398","https://www.somogyi.hu/product/home-hgszg1000p-vizes-palack-hgszg1000-szodagephez-bpa-mentes-pet-muanyag-rozsdamentes-acel-fedo-es-talp-1-l-850-ml-szensavasithato-hgszg1000p-18398")</f>
        <v>0.0</v>
      </c>
      <c r="E449" s="7" t="n">
        <f>HYPERLINK("https://www.somogyi.hu/data/img/product_main_images/small/18398.jpg","https://www.somogyi.hu/data/img/product_main_images/small/18398.jpg")</f>
        <v>0.0</v>
      </c>
      <c r="F449" s="2" t="inlineStr">
        <is>
          <t>5999084964160</t>
        </is>
      </c>
      <c r="G449" s="4" t="inlineStr">
        <is>
          <t>Egy megbízható és egészséges megoldást keres a mindennapi hidratáláshoz? A Home HGSZG1000P vizes palack kiváló választás az egészségtudatos felhasználók számára, akik értékelik a minőségi anyagokat és a stílusos kivitelt.
Ez a speciálisan tervezett palack a Home HGSZG1000 szódagéphez készült, garantálva, hogy a szénsavasítási folyamat zökkenőmentes és hatékony legyen. BPA-mentes PET műanyagból készült, ami biztosítja, hogy a palack nem csak tartós, de egészségre ártalmatlanul is használható. A rozsdamentes acél fedél és talp nem csak megerősíti a palack struktúráját, hanem elegáns megjelenést is kölcsönöz annak.
A palack űrtartalma 1 liter, ami ideális méret a napi folyadékfogyasztás követésére; 850 ml víz szénsavasítható benne, így tökéletes társ lehet otthon vagy munkahelyen egyaránt. A palack könnyű, mindössze 230 gramm üres tömegével, így könnyen hordozható és praktikus választás az aktív életmódot folytatók számára is.
Válassza a Home HGSZG1000P vizes palackot, ha egy megbízható, stílusos és egészséges módot keres a mindennapi hidratálásra. Tegye egyszerűvé és élvezetessé a napi vízfogyasztást ezzel az innovatív kiegészítővel!</t>
        </is>
      </c>
    </row>
    <row r="450">
      <c r="A450" s="3" t="inlineStr">
        <is>
          <t>HGSZG1000</t>
        </is>
      </c>
      <c r="B450" s="2" t="inlineStr">
        <is>
          <t>Home HGSZG1000 szódagép, fehér/inox, 2300 g, 14 x 41.5 x 25 cm</t>
        </is>
      </c>
      <c r="C450" s="1" t="n">
        <v>20790.0</v>
      </c>
      <c r="D450" s="7" t="n">
        <f>HYPERLINK("https://www.somogyi.hu/product/home-hgszg1000-szodagep-feher-inox-2300-g-14-x-41-5-x-25-cm-hgszg1000-18397","https://www.somogyi.hu/product/home-hgszg1000-szodagep-feher-inox-2300-g-14-x-41-5-x-25-cm-hgszg1000-18397")</f>
        <v>0.0</v>
      </c>
      <c r="E450" s="7" t="n">
        <f>HYPERLINK("https://www.somogyi.hu/data/img/product_main_images/small/18397.jpg","https://www.somogyi.hu/data/img/product_main_images/small/18397.jpg")</f>
        <v>0.0</v>
      </c>
      <c r="F450" s="2" t="inlineStr">
        <is>
          <t>5999084964153</t>
        </is>
      </c>
      <c r="G450" s="4" t="inlineStr">
        <is>
          <t>Elképzelte már, hogyan készíthetné el kedvenc szénsavas italát otthon, kényelmesen és gyorsan? A Home HGSZG1000 szódagéppel most minden eddiginél egyszerűbben élvezheti a frissítő buborékokat.
Ez a kiváló minőségű szódagép egy komplett csomagban érkezik, amely tartalmaz egy elegáns kialakítású gépet és egy BPA-mentes vizespalackot, rozsdamentes acél kupakkal és talppal. A palack 1 literes űrtartalmával akár 850 ml vizet képes szénsavassá varázsolni, így tökéletes választás családi vagy baráti összejövetelekhez. A szódagép kompatibilis a szabványos CO2 patronokkal, így bármikor könnyedén újratöltheti.
Mérete (14 x 41,5 x 25 cm) és súlya (2300 g a vizespalackkal együtt) teszi lehetővé, hogy könnyedén elhelyezhető legyen bármely konyhában anélkül, hogy túl sok helyet foglalna el. Fontos megjegyezni, hogy a csomag nem tartalmaz CO2 patront, így azt külön kell beszereznie.
Fedezze fel a frissítő, házi készítésű szénsavas italok világát a Home HGSZG1000 szódagéppel, amely nem csak praktikus, de stílusos kiegészítője is lehet konyhájának. Rendelje meg még ma, és élvezze a frissítő ízeket bármikor, amikor csak kedve tartja!</t>
        </is>
      </c>
    </row>
    <row r="451">
      <c r="A451" s="3" t="inlineStr">
        <is>
          <t>HGSZG1000SET</t>
        </is>
      </c>
      <c r="B451" s="2" t="inlineStr">
        <is>
          <t>Home HGSZG1000SET szódagép tartozék CO2 patronnal</t>
        </is>
      </c>
      <c r="C451" s="1" t="n">
        <v>29190.0</v>
      </c>
      <c r="D451" s="7" t="n">
        <f>HYPERLINK("https://www.somogyi.hu/product/home-hgszg1000set-szodagep-tartozek-co2-patronnal-hgszg1000set-19021","https://www.somogyi.hu/product/home-hgszg1000set-szodagep-tartozek-co2-patronnal-hgszg1000set-19021")</f>
        <v>0.0</v>
      </c>
      <c r="E451" s="7" t="n">
        <f>HYPERLINK("https://www.somogyi.hu/data/img/product_main_images/small/19021.jpg","https://www.somogyi.hu/data/img/product_main_images/small/19021.jpg")</f>
        <v>0.0</v>
      </c>
      <c r="F451" s="2" t="inlineStr">
        <is>
          <t>5999084970154</t>
        </is>
      </c>
      <c r="G451" s="4" t="inlineStr">
        <is>
          <t>Gondolkodott már azon, hogyan készíthetne otthonában friss, szénsavas vizet gyorsan és kényelmesen? A Home HGSZG1000SET szódagép szett mindent megad, amire szüksége van ahhoz, hogy bármikor élvezhesse a buborékos italokat. 
Ez a komplett szett tartalmaz egy elegáns és kompakt kialakítású Home HGSZG1000 szódagépet, valamint egy Sodapop CO2 patront, így azonnal készen áll a használatra.
A Home HGSZG1000 szódagép kiváló minőségű anyagokból készült, és modern, letisztult dizájnjával bármely konyhában jól mutat. A készülékhez tartozik egy BPA-mentes, 1 literes vizespalack rozsdamentes acél kupakkal és talppal, amely akár 850 ml vizet is szénsavassá varázsol. A szódakészítés sosem volt még ilyen egyszerű: csak töltse meg a palackot, rögzítse a géphez, és néhány másodperc alatt élvezheti a frissítő szénsavas vizet. A készülék kompakt mérete (14 x 41,5 x 25 cm) és könnyű súlya (2300 g) lehetővé teszi, hogy bármelyik konyhapulton könnyedén elférjen, anélkül, hogy túl sok helyet foglalna.
A szettben található Sodapop CO2 patron gondoskodik arról, hogy soha ne maradjon szénsavas víz nélkül. Ez a 425 g-os patron kompatibilis a legtöbb háztartási szódagéppel (kivéve a Quick Connect rendszerű készülékeket), és egyetlen patronnal akár 60-80 liter szódavizet is előállíthat, attól függően, hogy milyen mértékben szénsavas vizet szeretne. A Sodapop patronokat Németországban gyártják, garantálva a magas minőséget és a megbízhatóságot. Minden egyes patront gondosan ellenőriznek, magas nyomáson tisztítanak, és élelmiszer-minőségű CO2 gázzal töltenek fel, hogy Ön mindig a legjobb minőséget kapja. A patron használata rendkívül egyszerű: távolítsa el a védőfóliát, csavarja le a kupakot, és helyezze be a patront a szódagépbe. Fontos, hogy a patront hűvös, száraz helyen tárolja, és kerülje a közvetlen napfényt vagy 50 °C feletti hőmérsékletet.
A patronokat könnyedén cserélheti a Media Markt, Aldi, és Beston üzletekben, így mindig biztosíthatja otthonában a folyamatos szódagyártást. Az üres patronok cseréje a kizárólag a kijelölt cserepontokon lehetséges, cégünk patront nem cserél.
A Home HGSZG1000SET szódagép szett nemcsak praktikus, de környezetbarát megoldás is, hiszen csökkenti a műanyag palackok használatát. Ne várjon tovább, rendeljen most, és élvezze a házi készítésű szénsavas italok frissességét bármikor, amikor csak kedve tartja!</t>
        </is>
      </c>
    </row>
    <row r="452">
      <c r="A452" s="3" t="inlineStr">
        <is>
          <t>MSO-RB003AL-S</t>
        </is>
      </c>
      <c r="B452" s="2" t="inlineStr">
        <is>
          <t>Mysoda Ruby MSO-RB003AL-S, ezüst színű, alumíniumból készült, 2 db újrafelhasználható vizes palack tartozék, max. üzemi nyomás: 10 bar</t>
        </is>
      </c>
      <c r="C452" s="1" t="n">
        <v>69890.0</v>
      </c>
      <c r="D452" s="7" t="n">
        <f>HYPERLINK("https://www.somogyi.hu/product/mysoda-ruby-mso-rb003al-s-ezust-szinu-aluminiumbol-keszult-2-db-ujrafelhasznalhato-vizes-palack-tartozek-max-uzemi-nyomas-10-bar-mso-rb003al-s-17872","https://www.somogyi.hu/product/mysoda-ruby-mso-rb003al-s-ezust-szinu-aluminiumbol-keszult-2-db-ujrafelhasznalhato-vizes-palack-tartozek-max-uzemi-nyomas-10-bar-mso-rb003al-s-17872")</f>
        <v>0.0</v>
      </c>
      <c r="E452" s="7" t="n">
        <f>HYPERLINK("https://www.somogyi.hu/data/img/product_main_images/small/17872.jpg","https://www.somogyi.hu/data/img/product_main_images/small/17872.jpg")</f>
        <v>0.0</v>
      </c>
      <c r="F452" s="2" t="inlineStr">
        <is>
          <t>6430052009227</t>
        </is>
      </c>
      <c r="G452" s="4" t="inlineStr">
        <is>
          <t>Vajon hogyan készíthet friss, buborékos vizet könnyedén és stílusosan otthon? A Mysoda Ruby MSO-RB003AL-S buborékosvíz-készítő az ideális választás azoknak, akik egyszerre szeretnék élvezni a frissítő italokat és a környezetbarát megoldásokat. 
Az elegáns ezüst színű készülék teste robusztus, hosszú élettartamú alumíniumból készült, ami nemcsak tartósságot, hanem kifinomult megjelenést is biztosít. A szett tartalmaz egy 0,5 literes és egy 1 literes újrafelhasználható vizes palackot, valamint egy CO2 palackot, így azonnal kezdheti a használatot.
A Mysoda Ruby lenyűgöző matt felülettel rendelkezik hogy tökéletesen illeszkedjen bármely konyha stílusához. Az alumínium könnyedséget és tartósságot nyújt, miközben a csendes működés garantálja a zavartalan használatot. 
A készülék praktikus gyorszáras palack mechanizmussal van ellátva, amely megkönnyíti a palackok cseréjét és biztonságos rögzítését.
A készülék maximális üzemi nyomása 10 bar (145 Psi), így garantáltan tökéletes buborékos vizet készíthet. A 1 literes palack töltési térfogata maximum 0,85 liter (28,7 oz.), így mindig megfelelő mennyiségű frissítő ital áll rendelkezésre. A Mysoda Ruby fagyálló fúvókával van felszerelve, ami tovább növeli a készülék sokoldalúságát és megbízhatóságát.
Mindezek mellett a Mysoda Ruby nem igényel elektromos áramot, ami nemcsak energiatakarékos, hanem bárhol használhatóvá is teszi. A finn design eleganciát és funkcionalitást kölcsönöz a készüléknek, amely mérete 14,3 x 41 x 24 cm, így könnyedén elfér bármely konyhapulton.
Ne hagyja ki ezt a lehetőséget! Szerezze be a Mysoda Ruby MSO-RB003AL-S készüléket még ma, és élvezze a friss, buborékos víz élményét otthonában minden nap!</t>
        </is>
      </c>
    </row>
    <row r="453">
      <c r="A453" s="6" t="inlineStr">
        <is>
          <t xml:space="preserve">   Háztartási gép, eszköz / Konyhai páraelszívó</t>
        </is>
      </c>
      <c r="B453" s="6" t="inlineStr">
        <is>
          <t/>
        </is>
      </c>
      <c r="C453" s="6" t="inlineStr">
        <is>
          <t/>
        </is>
      </c>
      <c r="D453" s="6" t="inlineStr">
        <is>
          <t/>
        </is>
      </c>
      <c r="E453" s="6" t="inlineStr">
        <is>
          <t/>
        </is>
      </c>
      <c r="F453" s="6" t="inlineStr">
        <is>
          <t/>
        </is>
      </c>
      <c r="G453" s="6" t="inlineStr">
        <is>
          <t/>
        </is>
      </c>
    </row>
    <row r="454">
      <c r="A454" s="3" t="inlineStr">
        <is>
          <t>KPE 5019W</t>
        </is>
      </c>
      <c r="B454" s="2" t="inlineStr">
        <is>
          <t>Home KPE 5019W konyhai páraelszívó STORM, három sebességfokozat, légszállítás: 190 m3/h, 38 W, 50 cm, fehér</t>
        </is>
      </c>
      <c r="C454" s="1" t="n">
        <v>29190.0</v>
      </c>
      <c r="D454" s="7" t="n">
        <f>HYPERLINK("https://www.somogyi.hu/product/home-kpe-5019w-konyhai-paraelszivo-storm-harom-sebessegfokozat-legszallitas-190-m3-h-38-w-50-cm-feher-kpe-5019w-18158","https://www.somogyi.hu/product/home-kpe-5019w-konyhai-paraelszivo-storm-harom-sebessegfokozat-legszallitas-190-m3-h-38-w-50-cm-feher-kpe-5019w-18158")</f>
        <v>0.0</v>
      </c>
      <c r="E454" s="7" t="n">
        <f>HYPERLINK("https://www.somogyi.hu/data/img/product_main_images/small/18158.jpg","https://www.somogyi.hu/data/img/product_main_images/small/18158.jpg")</f>
        <v>0.0</v>
      </c>
      <c r="F454" s="2" t="inlineStr">
        <is>
          <t>5999084961800</t>
        </is>
      </c>
      <c r="G454" s="4" t="inlineStr">
        <is>
          <t>Szeretne egy hatékony, mégis kompakt páraelszívót, amely diszkréten illeszkedik konyhája stílusához és tökéletes légminőséget biztosít? A Home KPE 5019W STORM konyhai páraelszívó erőteljes, 190 m³/h légszállítási kapacitásával és három sebességfokozatával optimális megoldást nyújt a kellemetlen szagok és pára gyors eltávolítására. 
Fehér festett acéllemez kivitelének köszönhetően elegáns megjelenést kölcsönöz, így bármely konyhai környezetbe harmonikusan illeszkedik. A páraelszívó egyszerűen kezelhető, a nyomógombos mechanikus vezérlés révén könnyedén választhat a három sebességfokozat között, így mindig az adott igényekhez igazíthatja a légszállítási teljesítményt. A beépített 1,5 W-os LED világítás gondoskodik a főzési terület megfelelő megvilágításáról, növelve ezzel a kényelmet és a hatékonyságot. A Home KPE 5019W STORM páraelszívó alapfelszereltségéhez tartozik egy 3 rétegű alumíniumhálós zsírszűrő, amely mosható, és segít megakadályozni a zsíros lerakódások kialakulását. 
A szűrőrendszert igény szerint pamutszűrővel is bővítheti (KPE 5019/COT), ha további szűrésre van szüksége. Ez a páraelszívó külső kivezetéses és recirkulációs szellőztetési módot is támogat, így akár külső légkivezetéssel, akár belső levegő keringetéssel is használható, a konyhájához legjobban illeszkedő megoldást kínálva. Maximális teljesítménye 38 W, amely alacsony energiafogyasztást biztosít, így hatékonyan és gazdaságosan működtethető. Zajszintje mindössze 61 dB, így nem zavarja a konyhai tevékenységeket.
Fontos, hogy a páraelszívó helyes felszereléséhez szakember segítségét vegye igénybe, hogy garantált legyen a biztonságos és optimális működés.
Válassza a Home KPE 5019W STORM konyhai páraelszívót, ha egy megbízható, praktikus és stílusos megoldást keres, amely minden szükséges funkciót biztosít a konyhai levegő tisztántartásához!</t>
        </is>
      </c>
    </row>
    <row r="455">
      <c r="A455" s="3" t="inlineStr">
        <is>
          <t>KPE 6038/C</t>
        </is>
      </c>
      <c r="B455" s="2" t="inlineStr">
        <is>
          <t>Home KPE 6038/C aktívszén szűrő készlet HURRICANE páraelszívókhoz, 2db</t>
        </is>
      </c>
      <c r="C455" s="1" t="n">
        <v>2590.0</v>
      </c>
      <c r="D455" s="7" t="n">
        <f>HYPERLINK("https://www.somogyi.hu/product/home-kpe-6038-c-aktivszen-szuro-keszlet-hurricane-paraelszivokhoz-2db-kpe-6038-c-18151","https://www.somogyi.hu/product/home-kpe-6038-c-aktivszen-szuro-keszlet-hurricane-paraelszivokhoz-2db-kpe-6038-c-18151")</f>
        <v>0.0</v>
      </c>
      <c r="E455" s="7" t="n">
        <f>HYPERLINK("https://www.somogyi.hu/data/img/product_main_images/small/18151.jpg","https://www.somogyi.hu/data/img/product_main_images/small/18151.jpg")</f>
        <v>0.0</v>
      </c>
      <c r="F455" s="2" t="inlineStr">
        <is>
          <t>5999084961732</t>
        </is>
      </c>
      <c r="G455" s="4" t="inlineStr">
        <is>
          <t>KPE 6038/C típusszámú aktívszén szűrő készlet (2 db) tökéletesen illeszkedik minden HURRICANE névre keresztelt konyhai páraelszívó családunk tagjához.</t>
        </is>
      </c>
    </row>
    <row r="456">
      <c r="A456" s="3" t="inlineStr">
        <is>
          <t>KPE 6044/C</t>
        </is>
      </c>
      <c r="B456" s="2" t="inlineStr">
        <is>
          <t>Home KPE 6044/C aktívszén szűrő készlet TWISTER páraelszívókhoz 2db</t>
        </is>
      </c>
      <c r="C456" s="1" t="n">
        <v>2390.0</v>
      </c>
      <c r="D456" s="7" t="n">
        <f>HYPERLINK("https://www.somogyi.hu/product/home-kpe-6044-c-aktivszen-szuro-keszlet-twister-paraelszivokhoz-2db-kpe-6044-c-18146","https://www.somogyi.hu/product/home-kpe-6044-c-aktivszen-szuro-keszlet-twister-paraelszivokhoz-2db-kpe-6044-c-18146")</f>
        <v>0.0</v>
      </c>
      <c r="E456" s="7" t="n">
        <f>HYPERLINK("https://www.somogyi.hu/data/img/product_main_images/small/18146.jpg","https://www.somogyi.hu/data/img/product_main_images/small/18146.jpg")</f>
        <v>0.0</v>
      </c>
      <c r="F456" s="2" t="inlineStr">
        <is>
          <t>5999084961688</t>
        </is>
      </c>
      <c r="G456" s="4" t="inlineStr">
        <is>
          <t>KPE 6044/C típusszámú aktívszén szűrő készlet (2 db) tökéletesen illeszkedik minden TWISTER névre keresztelt konyhai páraelszívó családunk tagjához.</t>
        </is>
      </c>
    </row>
    <row r="457">
      <c r="A457" s="3" t="inlineStr">
        <is>
          <t>KPE 6090/C</t>
        </is>
      </c>
      <c r="B457" s="2" t="inlineStr">
        <is>
          <t>Home KPE 6090/C aktívszén szűrő készlet CYCLONE páraelszívókhoz 2db</t>
        </is>
      </c>
      <c r="C457" s="1" t="n">
        <v>2490.0</v>
      </c>
      <c r="D457" s="7" t="n">
        <f>HYPERLINK("https://www.somogyi.hu/product/home-kpe-6090-c-aktivszen-szuro-keszlet-cyclone-paraelszivokhoz-2db-kpe-6090-c-18142","https://www.somogyi.hu/product/home-kpe-6090-c-aktivszen-szuro-keszlet-cyclone-paraelszivokhoz-2db-kpe-6090-c-18142")</f>
        <v>0.0</v>
      </c>
      <c r="E457" s="7" t="n">
        <f>HYPERLINK("https://www.somogyi.hu/data/img/product_main_images/small/18142.jpg","https://www.somogyi.hu/data/img/product_main_images/small/18142.jpg")</f>
        <v>0.0</v>
      </c>
      <c r="F457" s="2" t="inlineStr">
        <is>
          <t>5999084961640</t>
        </is>
      </c>
      <c r="G457" s="4" t="inlineStr">
        <is>
          <t>KPE 6090/C típusszámú aktívszén szűrő készlet (2 db) tökéletesen illeszkedik minden CYCLONE névre keresztelt konyhai páraelszívó családunk tagjához.</t>
        </is>
      </c>
    </row>
    <row r="458">
      <c r="A458" s="3" t="inlineStr">
        <is>
          <t>KPEHKIV</t>
        </is>
      </c>
      <c r="B458" s="2" t="inlineStr">
        <is>
          <t>Home KPEHKIV hátsó kivezető idom konyhai páraelszívóhoz, STORM és HURRICANE típusokhoz, horganyzott, Ø117 mm, 160 x 52 mm szögletes rész, 188 x 160 mm tartólemez</t>
        </is>
      </c>
      <c r="C458" s="1" t="n">
        <v>12190.0</v>
      </c>
      <c r="D458" s="7" t="n">
        <f>HYPERLINK("https://www.somogyi.hu/product/home-kpehkiv-hatso-kivezeto-idom-konyhai-paraelszivohoz-storm-es-hurricane-tipusokhoz-horganyzott-117-mm-160-x-52-mm-szogletes-resz-188-x-160-mm-tartolemez-kpehkiv-18482","https://www.somogyi.hu/product/home-kpehkiv-hatso-kivezeto-idom-konyhai-paraelszivohoz-storm-es-hurricane-tipusokhoz-horganyzott-117-mm-160-x-52-mm-szogletes-resz-188-x-160-mm-tartolemez-kpehkiv-18482")</f>
        <v>0.0</v>
      </c>
      <c r="E458" s="7" t="n">
        <f>HYPERLINK("https://www.somogyi.hu/data/img/product_main_images/small/18482.jpg","https://www.somogyi.hu/data/img/product_main_images/small/18482.jpg")</f>
        <v>0.0</v>
      </c>
      <c r="F458" s="2" t="inlineStr">
        <is>
          <t>5999084965006</t>
        </is>
      </c>
      <c r="G458" s="4" t="inlineStr">
        <is>
          <t>A tökéletes megoldást keresi a konyhai páraelszívója hátsó kivezetéséhez? A Home KPEHKIV hátsó kivezető idom kifejezetten a Somogyi Elektronic által forgalmazott STORM és TORNADO típusú konyhai páraelszívókhoz lett tervezve.
Az idom hengeres része 117 mm átmérőjű, míg a szögletes rész ideális mérettel, 160 x 52mm méretekkel rendelkezik, így biztosítva a könnyű és szoros illeszkedést. A tartólemez méretei, 188 x 160 mm, tovább növelik a szerelés egyszerűségét és stabilitását.
Legyen szó akár új telepítésről, akár meglévő rendszer frissítéséről, ez az idom tökéletes választás a hatékony és esztétikus kivezetés érdekében. Válassza a Home KPEHKIV idomot a problémamentes páraelszívó telepítésért!</t>
        </is>
      </c>
    </row>
    <row r="459">
      <c r="A459" s="3" t="inlineStr">
        <is>
          <t>KPE 60/A</t>
        </is>
      </c>
      <c r="B459" s="2" t="inlineStr">
        <is>
          <t>Home KPE 60/A alumínium zsírszűrő HURRICANE és TORNADO páraelszívókhoz</t>
        </is>
      </c>
      <c r="C459" s="1" t="n">
        <v>2690.0</v>
      </c>
      <c r="D459" s="7" t="n">
        <f>HYPERLINK("https://www.somogyi.hu/product/home-kpe-60-a-aluminium-zsirszuro-hurricane-es-tornado-paraelszivokhoz-kpe-60-a-18156","https://www.somogyi.hu/product/home-kpe-60-a-aluminium-zsirszuro-hurricane-es-tornado-paraelszivokhoz-kpe-60-a-18156")</f>
        <v>0.0</v>
      </c>
      <c r="E459" s="7" t="n">
        <f>HYPERLINK("https://www.somogyi.hu/data/img/product_main_images/small/18156.jpg","https://www.somogyi.hu/data/img/product_main_images/small/18156.jpg")</f>
        <v>0.0</v>
      </c>
      <c r="F459" s="2" t="inlineStr">
        <is>
          <t>5999084961787</t>
        </is>
      </c>
      <c r="G459" s="4" t="inlineStr">
        <is>
          <t>KPE 60/A típusszámú mosható, 3 rétegű alumíniumhálós zsírszűrő tökéletesen illeszkedik minden HURRICANE és TORNADO névre keresztelt konyhai páraelszívó családunk tagjához.</t>
        </is>
      </c>
    </row>
    <row r="460">
      <c r="A460" s="3" t="inlineStr">
        <is>
          <t>KPE 6039G</t>
        </is>
      </c>
      <c r="B460" s="2" t="inlineStr">
        <is>
          <t>Home KPE 6039G konyhai páraelszívó CYCLONE, érintésvezérlés + kézmozgással vezérlés, három sebességfokozat, légszállítás: 390 m3/h, 105 W,  60 cm</t>
        </is>
      </c>
      <c r="C460" s="1" t="n">
        <v>62390.0</v>
      </c>
      <c r="D460" s="7" t="n">
        <f>HYPERLINK("https://www.somogyi.hu/product/home-kpe-6039g-konyhai-paraelszivo-cyclone-erintesvezerles-kezmozgassal-vezerles-harom-sebessegfokozat-legszallitas-390-m3-h-105-w-60-cm-kpe-6039g-18140","https://www.somogyi.hu/product/home-kpe-6039g-konyhai-paraelszivo-cyclone-erintesvezerles-kezmozgassal-vezerles-harom-sebessegfokozat-legszallitas-390-m3-h-105-w-60-cm-kpe-6039g-18140")</f>
        <v>0.0</v>
      </c>
      <c r="E460" s="7" t="n">
        <f>HYPERLINK("https://www.somogyi.hu/data/img/product_main_images/small/18140.jpg","https://www.somogyi.hu/data/img/product_main_images/small/18140.jpg")</f>
        <v>0.0</v>
      </c>
      <c r="F460" s="2" t="inlineStr">
        <is>
          <t>5999084961626</t>
        </is>
      </c>
      <c r="G460" s="4" t="inlineStr">
        <is>
          <t>Egy olyan páraelszívót keres, amely nemcsak modern és elegáns, hanem innovatív funkcióival is kitűnik a konyhai eszközök közül? A Home KPE 6039G CYCLONE konyhai páraelszívó különleges megoldásokkal és lenyűgöző teljesítménnyel készült, hogy tökéletesen illeszkedjen a modern konyhák világába. 
A 390 m³/h légszállítási kapacitásának köszönhetően gyorsan és hatékonyan távolítja el a főzés közben keletkező szagokat és párát, tiszta és friss levegőt biztosítva. A készülék fekete SPCC acéllemez és fekete üveg kombinációjával készült, így stílusosan egészíti ki a konyhát, miközben egyszerűen és kényelmesen használható. Az érintésvezérléssel és a kézmozdulattal történő vezérléssel a páraelszívót érintés nélkül is kezelheti, ami higiénikusabb és kényelmesebb működtetést biztosít – egyszerűen csak intsen, és a készülék azonnal reagál. A három sebességfokozat lehetővé teszi, hogy mindig a főzési igényekhez igazítsa a légszállítást, a beépített 1,5 W-os LED világítás pedig kiváló megvilágítást biztosít a főzőfelület számára.
A páraelszívó alapfelszereltségéhez tartozik egy öt rétegű alumíniumhálós, mosható zsírszűrő, amely hatékonyan tisztítja meg a levegőt a szennyeződésektől, így védi a készüléket és meghosszabbítja annak élettartamát. A két darabból álló szénszűrő készlet lehetőséget nyújt a recirkulációs üzemmódban való használatra is, így a készülék nemcsak külső kivezetéssel, hanem zárt rendszerben is hatékonyan működik. A 105 W-os motor teljesítmény energiatakarékos működést biztosít, miközben a zajszint mindössze 62 dB, így csendesen üzemel.
Fontos, hogy a páraelszívó helyes felszereléséhez szakember segítségét vegye igénybe, hogy garantált legyen a biztonságos és optimális működés.
Válassza a Home KPE 6039G CYCLONE konyhai páraelszívót, hogy konyhája stílusos, innovatív és hatékony legyen! Ez a páraelszívó minden igényt kielégít, a modern dizájntól a magas légszállítási kapacitásig, így a főzés élménye új szintre emelkedik!</t>
        </is>
      </c>
    </row>
    <row r="461">
      <c r="A461" s="3" t="inlineStr">
        <is>
          <t>KPE 6038W</t>
        </is>
      </c>
      <c r="B461" s="2" t="inlineStr">
        <is>
          <t>Home KPE 6038W konyhai páraelszívó HURRICANE, három sebességfokozat, 2 motoros, légszállítás: 380 m3/h, 200 W, 60cm, fehér</t>
        </is>
      </c>
      <c r="C461" s="1" t="n">
        <v>48490.0</v>
      </c>
      <c r="D461" s="7" t="n">
        <f>HYPERLINK("https://www.somogyi.hu/product/home-kpe-6038w-konyhai-paraelszivo-hurricane-harom-sebessegfokozat-2-motoros-legszallitas-380-m3-h-200-w-60cm-feher-kpe-6038w-18149","https://www.somogyi.hu/product/home-kpe-6038w-konyhai-paraelszivo-hurricane-harom-sebessegfokozat-2-motoros-legszallitas-380-m3-h-200-w-60cm-feher-kpe-6038w-18149")</f>
        <v>0.0</v>
      </c>
      <c r="E461" s="7" t="n">
        <f>HYPERLINK("https://www.somogyi.hu/data/img/product_main_images/small/18149.jpg","https://www.somogyi.hu/data/img/product_main_images/small/18149.jpg")</f>
        <v>0.0</v>
      </c>
      <c r="F461" s="2" t="inlineStr">
        <is>
          <t>5999084961718</t>
        </is>
      </c>
      <c r="G461" s="4" t="inlineStr">
        <is>
          <t>Szüksége van egy erőteljes páraelszívóra, amely egyszerre stílusos és hatékony, hogy konyhája mindig friss és szagmentes legyen? A Home KPE 6038W HURRICANE konyhai páraelszívó két motoros kialakítása és 380 m³/h maximális légszállítási kapacitása révén kiváló választás minden olyan háztartás számára, ahol a gyakori és intenzív főzés mindennapos. 
Ez a fehér festett acéllemezből készült, 60 cm széles készülék nemcsak praktikus, hanem elegáns megjelenésével is illeszkedik a konyha környezetébe. A HURRICANE páraelszívó három választható sebességfokozattal rendelkezik, amelyeket egyszerűen kezelhet a mechanikus nyomógombos vezérléssel, így mindig az aktuális igényekhez igazíthatja a készülék teljesítményét. A beépített 1,5 W-os LED lámpa gondoskodik a főzőfelület megfelelő megvilágításáról, így a konyhai munka kényelmesebbé és hatékonyabbá válik. A készülékhez tartozik egy háromrétegű, mosható alumíniumhálós zsírszűrő, amely megakadályozza a zsírlerakódást, ezzel óvva a belső alkatrészeket és biztosítva a hosszabb élettartamot.
A páraelszívó használható külső kivezetéssel és recirkulációs módban egyaránt, és a tartozék két darabból álló szénszűrő készlet biztosítja a hatékony működést a belső légkeringetés esetén is. A 200 W maximális motor teljesítmény és a kettős motoros kivitel kiemelkedő szívóerőt biztosít, miközben a készülék zajszintje csupán 66 dB, így nyugodtan használható anélkül, hogy zavaró lenne. A 120 mm-es levegő kivezető nyílás biztosítja az optimális légáramlást, miközben a készülék energiaosztálya D, ami gazdaságos működést tesz lehetővé.
Fontos, hogy a páraelszívó helyes felszereléséhez szakember segítségét vegye igénybe, hogy garantált legyen a biztonságos és optimális működés.
Válassza a Home KPE 6038W HURRICANE páraelszívót, ha egy erős és megbízható készülékkel szeretné biztosítani a tiszta és friss levegőt konyhájában!</t>
        </is>
      </c>
    </row>
    <row r="462">
      <c r="A462" s="3" t="inlineStr">
        <is>
          <t>KPE 5019/A</t>
        </is>
      </c>
      <c r="B462" s="2" t="inlineStr">
        <is>
          <t>Home KPE 5019/A alumínium zsírszűrő STORM páraelszívókhoz</t>
        </is>
      </c>
      <c r="C462" s="1" t="n">
        <v>2490.0</v>
      </c>
      <c r="D462" s="7" t="n">
        <f>HYPERLINK("https://www.somogyi.hu/product/home-kpe-5019-a-aluminium-zsirszuro-storm-paraelszivokhoz-kpe-5019-a-18161","https://www.somogyi.hu/product/home-kpe-5019-a-aluminium-zsirszuro-storm-paraelszivokhoz-kpe-5019-a-18161")</f>
        <v>0.0</v>
      </c>
      <c r="E462" s="7" t="n">
        <f>HYPERLINK("https://www.somogyi.hu/data/img/product_main_images/small/18161.jpg","https://www.somogyi.hu/data/img/product_main_images/small/18161.jpg")</f>
        <v>0.0</v>
      </c>
      <c r="F462" s="2" t="inlineStr">
        <is>
          <t>5999084961831</t>
        </is>
      </c>
      <c r="G462" s="4" t="inlineStr">
        <is>
          <t>KPE 5019/A típusszámú mosható, 3 rétegű alumíniumhálós zsírszűrő tökéletesen illeszkedik minden STORM névre keresztelt konyhai páraelszívó családunk tagjához.</t>
        </is>
      </c>
    </row>
    <row r="463">
      <c r="A463" s="3" t="inlineStr">
        <is>
          <t>KPE 5019S</t>
        </is>
      </c>
      <c r="B463" s="2" t="inlineStr">
        <is>
          <t>Home KPE 5019S konyhai páraelszívó STORM, három sebességfokozat, légszállítás: 190 m3/h, 38 W, 50 cm, rozsdamentes acél</t>
        </is>
      </c>
      <c r="C463" s="1" t="n">
        <v>30990.0</v>
      </c>
      <c r="D463" s="7" t="n">
        <f>HYPERLINK("https://www.somogyi.hu/product/home-kpe-5019s-konyhai-paraelszivo-storm-harom-sebessegfokozat-legszallitas-190-m3-h-38-w-50-cm-rozsdamentes-acel-kpe-5019s-18157","https://www.somogyi.hu/product/home-kpe-5019s-konyhai-paraelszivo-storm-harom-sebessegfokozat-legszallitas-190-m3-h-38-w-50-cm-rozsdamentes-acel-kpe-5019s-18157")</f>
        <v>0.0</v>
      </c>
      <c r="E463" s="7" t="n">
        <f>HYPERLINK("https://www.somogyi.hu/data/img/product_main_images/small/18157.jpg","https://www.somogyi.hu/data/img/product_main_images/small/18157.jpg")</f>
        <v>0.0</v>
      </c>
      <c r="F463" s="2" t="inlineStr">
        <is>
          <t>5999084961794</t>
        </is>
      </c>
      <c r="G463" s="4" t="inlineStr">
        <is>
          <t>Szeretne egy stílusos és hatékony páraelszívót, amely gyorsan eltávolítja a kellemetlen szagokat és a párát, miközben a konyhája letisztult, modern megjelenéséhez is illeszkedik? A Home KPE 5019S STORM konyhai páraelszívó rozsdamentes acél kivitelével, három sebességfokozatával és 190 m³/h légszállítási kapacitásával ideális választás, ha egy kompakt, de nagy teljesítményű készülékre vágyik.
A páraelszívó egyszerű és praktikus használatot biztosít a nyomógombos mechanikus vezérlés segítségével, amellyel könnyedén választhat a három sebességfokozat között, így mindig az adott főzési igényekhez igazíthatja a légszállítási teljesítményt. Az 1,5 W-os LED világítás tökéletesen megvilágítja a főzőlapot, hogy mindig jól lássa, mit készít éppen, és növeli a konyhai munkafolyamatok kényelmét. A készülékhez tartozik egy háromrétegű, mosható alumíniumhálós zsírszűrő, amely hatékonyan szűri meg a levegőt a zsír- és egyéb szennyeződésektől, így biztosítva a belső alkatrészek védelmét és a hosszú élettartamot. Az opcionálisan használható pamutszűrővel (KPE 5019/COT) tovább fokozhatja a levegőtisztítást, különösen recirkulációs üzemmódban.
Akár külső szellőztetéssel, akár belső légkeringetéssel is használható, így rugalmasan alkalmazkodik a konyhai elrendezéshez. A maximális motor teljesítmény 38 W, amely gazdaságos energiafelhasználást biztosít a B energiahatékonysági osztályban, míg a készülék működése csendes, mindössze 61 dB zajszinttel. A 120 mm-es levegő kivezető nyílás hatékony légáramlást nyújt, a kompakt, 50 cm széles kialakítás pedig helytakarékos megoldást kínál.
Fontos, hogy a páraelszívó helyes felszereléséhez szakember segítségét vegye igénybe, hogy garantált legyen a biztonságos és optimális működés.
Válassza a Home KPE 5019S STORM páraelszívót, hogy konyhája mindig friss levegőjű és tiszta legyen! Ez a modern és tartós készülék ideális társ a főzés során, amely funkcionalitását és stílusát tekintve is kiemelkedő választás a konyhába.</t>
        </is>
      </c>
    </row>
    <row r="464">
      <c r="A464" s="3" t="inlineStr">
        <is>
          <t>KPE 6020S</t>
        </is>
      </c>
      <c r="B464" s="2" t="inlineStr">
        <is>
          <t>Home KPE 6020S konyhai páraelszívó TORNADO, három sebességfokozat, légszállítás: 200 m3/h, 38 W, 60 cm, rozsdamentes acél</t>
        </is>
      </c>
      <c r="C464" s="1" t="n">
        <v>33590.0</v>
      </c>
      <c r="D464" s="7" t="n">
        <f>HYPERLINK("https://www.somogyi.hu/product/home-kpe-6020s-konyhai-paraelszivo-tornado-harom-sebessegfokozat-legszallitas-200-m3-h-38-w-60-cm-rozsdamentes-acel-kpe-6020s-18152","https://www.somogyi.hu/product/home-kpe-6020s-konyhai-paraelszivo-tornado-harom-sebessegfokozat-legszallitas-200-m3-h-38-w-60-cm-rozsdamentes-acel-kpe-6020s-18152")</f>
        <v>0.0</v>
      </c>
      <c r="E464" s="7" t="n">
        <f>HYPERLINK("https://www.somogyi.hu/data/img/product_main_images/small/18152.jpg","https://www.somogyi.hu/data/img/product_main_images/small/18152.jpg")</f>
        <v>0.0</v>
      </c>
      <c r="F464" s="2" t="inlineStr">
        <is>
          <t>5999084961749</t>
        </is>
      </c>
      <c r="G464" s="4" t="inlineStr">
        <is>
          <t>Szeretne egy olyan páraelszívót, amely nemcsak hatékony, de elegáns megjelenésével is feldobja konyhája stílusát? A Home KPE 6020S TORNADO konyhai páraelszívó ideális választás azok számára, akik a rozsdamentes acél minőségét és tartósságát keresik, miközben gondoskodni kívánnak a konyhai levegő tisztaságáról. 
A készülék légszállítási kapacitása 200 m³/h, így gyorsan és hatékonyan távolítja el a főzés közben keletkező párát és szagokat. Ez a páraelszívó három sebességfokozattal rendelkezik, amelyeket könnyedén szabályozhat a mechanikus nyomógombos vezérlés segítségével. Az 1,5 W-os LED lámpa biztosítja a főzőlap megfelelő megvilágítását, hogy mindig jól láthassa, mit készít éppen, és a konyhában végzett munka még kényelmesebbé váljon. A Home KPE 6020S alapfelszereltségéhez tartozik egy háromrétegű, mosható alumíniumhálós zsírszűrő, amely hatékonyan szűri meg a zsír- és egyéb szennyeződéseket. 
További előny, hogy szénszűrőt is tartalmaz, így recirkulációs módban is használható, ha nincs lehetőség külső szellőztetésre. A 38 W-os motor energiatakarékos működést biztosít (B energiahatékonysági osztály), miközben a készülék zajszintje mindössze 64 dB, így használata csendes és nem zavarja a konyhai tevékenységeket. A 120 mm-es levegő kivezető nyílás révén optimális szellőzést nyújt, a 60 cm szélesség pedig ideálissá teszi különböző konyhai elrendezésekhez, anélkül hogy sok helyet foglalna.
Fontos, hogy a páraelszívó helyes felszereléséhez szakember segítségét vegye igénybe, hogy garantált legyen a biztonságos és optimális működés.
Válassza a Home KPE 6020S TORNADO konyhai páraelszívót, és élvezze a friss, tiszta levegőt, valamint a rozsdamentes acél stílusos megjelenését konyhájában! Ez a készülék tökéletes egyensúlyt nyújt a funkcionalitás, az energiahatékonyság és a letisztult design között – tegye konyháját még kellemesebbé és praktikusabbá!</t>
        </is>
      </c>
    </row>
    <row r="465">
      <c r="A465" s="3" t="inlineStr">
        <is>
          <t>KPE 5019/COT</t>
        </is>
      </c>
      <c r="B465" s="2" t="inlineStr">
        <is>
          <t>Home KPE 5019/COT pamutszűrő STORM páraelszívókhoz</t>
        </is>
      </c>
      <c r="C465" s="1" t="n">
        <v>2590.0</v>
      </c>
      <c r="D465" s="7" t="n">
        <f>HYPERLINK("https://www.somogyi.hu/product/home-kpe-5019-cot-pamutszuro-storm-paraelszivokhoz-kpe-5019-cot-18160","https://www.somogyi.hu/product/home-kpe-5019-cot-pamutszuro-storm-paraelszivokhoz-kpe-5019-cot-18160")</f>
        <v>0.0</v>
      </c>
      <c r="E465" s="7" t="n">
        <f>HYPERLINK("https://www.somogyi.hu/data/img/product_main_images/small/18160.jpg","https://www.somogyi.hu/data/img/product_main_images/small/18160.jpg")</f>
        <v>0.0</v>
      </c>
      <c r="F465" s="2" t="inlineStr">
        <is>
          <t>5999084961824</t>
        </is>
      </c>
      <c r="G465" s="4" t="inlineStr">
        <is>
          <t>KPE 5019/COT típusszámú pamutszűrő (1 db) tökéletesen illeszkedik minden STORM névre keresztelt konyhai páraelszívó családunk tagjához.</t>
        </is>
      </c>
    </row>
    <row r="466">
      <c r="A466" s="3" t="inlineStr">
        <is>
          <t>KPE 6090/A</t>
        </is>
      </c>
      <c r="B466" s="2" t="inlineStr">
        <is>
          <t>Home KPE 6090/A alumínium zsírszűrő CYCLONE páraelszívókhoz</t>
        </is>
      </c>
      <c r="C466" s="1" t="n">
        <v>3490.0</v>
      </c>
      <c r="D466" s="7" t="n">
        <f>HYPERLINK("https://www.somogyi.hu/product/home-kpe-6090-a-aluminium-zsirszuro-cyclone-paraelszivokhoz-kpe-6090-a-18143","https://www.somogyi.hu/product/home-kpe-6090-a-aluminium-zsirszuro-cyclone-paraelszivokhoz-kpe-6090-a-18143")</f>
        <v>0.0</v>
      </c>
      <c r="E466" s="7" t="n">
        <f>HYPERLINK("https://www.somogyi.hu/data/img/product_main_images/small/18143.jpg","https://www.somogyi.hu/data/img/product_main_images/small/18143.jpg")</f>
        <v>0.0</v>
      </c>
      <c r="F466" s="2" t="inlineStr">
        <is>
          <t>5999084961657</t>
        </is>
      </c>
      <c r="G466" s="4" t="inlineStr">
        <is>
          <t>KPE 6090/A típusszámú mosható, 5 rétegű alumíniumhálós zsírszűrő tökéletesen illeszkedik minden CYCLONE névre keresztelt konyhai páraelszívó családunk tagjához.</t>
        </is>
      </c>
    </row>
    <row r="467">
      <c r="A467" s="3" t="inlineStr">
        <is>
          <t>KPE 6038B</t>
        </is>
      </c>
      <c r="B467" s="2" t="inlineStr">
        <is>
          <t>Home KPE 6038B konyhai páraelszívó HURRICANE, három sebességfokozat, 2 motoros, légszállítás: 380 m3/h, 200 W, 60cm, fekete</t>
        </is>
      </c>
      <c r="C467" s="1" t="n">
        <v>48490.0</v>
      </c>
      <c r="D467" s="7" t="n">
        <f>HYPERLINK("https://www.somogyi.hu/product/home-kpe-6038b-konyhai-paraelszivo-hurricane-harom-sebessegfokozat-2-motoros-legszallitas-380-m3-h-200-w-60cm-fekete-kpe-6038b-18150","https://www.somogyi.hu/product/home-kpe-6038b-konyhai-paraelszivo-hurricane-harom-sebessegfokozat-2-motoros-legszallitas-380-m3-h-200-w-60cm-fekete-kpe-6038b-18150")</f>
        <v>0.0</v>
      </c>
      <c r="E467" s="7" t="n">
        <f>HYPERLINK("https://www.somogyi.hu/data/img/product_main_images/small/18150.jpg","https://www.somogyi.hu/data/img/product_main_images/small/18150.jpg")</f>
        <v>0.0</v>
      </c>
      <c r="F467" s="2" t="inlineStr">
        <is>
          <t>5999084961725</t>
        </is>
      </c>
      <c r="G467" s="4" t="inlineStr">
        <is>
          <t>Szeretne egy erőteljes és elegáns páraelszívót, amely tökéletesen illik modern konyhájába, miközben hatékonyan biztosítja a friss levegőt? A Home KPE 6038B HURRICANE konyhai páraelszívó fekete festett acéllemezzel és kettős motoros kialakítással készült, így kiváló választás a nagyobb konyhai forgalomhoz is. 
A készülék 380 m³/h maximális légszállítási kapacitásával gyorsan eltávolítja a főzés során keletkező szagokat és párát, biztosítva ezzel a tiszta, friss levegőt. A HURRICANE három sebességfokozattal rendelkezik, amelyeket egyszerűen vezérelhet a praktikus nyomógombos mechanikus vezérlés segítségével, így mindig az adott főzési igényeknek megfelelő teljesítményt érhet el. Az 1,5 W-os LED lámpa biztosítja a főzőlap tökéletes megvilágítását, ami kényelmesebb és biztonságosabb konyhai munkát tesz lehetővé. A készülék alapfelszereltségéhez tartozik egy háromrétegű, mosható alumíniumhálós zsírszűrő, amely hatékonyan gyűjti össze a zsír- és szennyeződés-részecskéket, így védi a belső alkatrészeket és biztosítja a hosszabb élettartamot.
A két darabból álló szénszűrő készlet segítségével recirkulációs üzemmódban is használható, így ha nincs lehetőség külső szellőztetésre, a készülék akkor is hatékonyan működik. A 200 W-os maximális motor teljesítmény garantálja a nagy teljesítményt, miközben a zajszint mindössze 66 dB, így használata nem zavarja a konyhai beszélgetéseket. A készülék levegő kivezető nyílása 120 mm, a 60 cm szélesség pedig kompakt, mégis hatékony megoldást kínál.
Fontos, hogy a páraelszívó helyes felszereléséhez szakember segítségét vegye igénybe, hogy garantált legyen a biztonságos és optimális működés.
Válassza a Home KPE 6038B HURRICANE páraelszívót, ha egy stílusos, fekete készülékkel szeretné modernizálni konyháját, miközben garantálja a friss és tiszta levegőt a főzés minden pillanatában!</t>
        </is>
      </c>
    </row>
    <row r="468">
      <c r="A468" s="3" t="inlineStr">
        <is>
          <t>KPE 6020B</t>
        </is>
      </c>
      <c r="B468" s="2" t="inlineStr">
        <is>
          <t>Home KPE 6020B konyhai páraelszívó TORNADO, három sebességfokozat, légszállítás: 200 m3/h, 38 W, 60 cm, fekete</t>
        </is>
      </c>
      <c r="C468" s="1" t="n">
        <v>29790.0</v>
      </c>
      <c r="D468" s="7" t="n">
        <f>HYPERLINK("https://www.somogyi.hu/product/home-kpe-6020b-konyhai-paraelszivo-tornado-harom-sebessegfokozat-legszallitas-200-m3-h-38-w-60-cm-fekete-kpe-6020b-18154","https://www.somogyi.hu/product/home-kpe-6020b-konyhai-paraelszivo-tornado-harom-sebessegfokozat-legszallitas-200-m3-h-38-w-60-cm-fekete-kpe-6020b-18154")</f>
        <v>0.0</v>
      </c>
      <c r="E468" s="7" t="n">
        <f>HYPERLINK("https://www.somogyi.hu/data/img/product_main_images/small/18154.jpg","https://www.somogyi.hu/data/img/product_main_images/small/18154.jpg")</f>
        <v>0.0</v>
      </c>
      <c r="F468" s="2" t="inlineStr">
        <is>
          <t>5999084961763</t>
        </is>
      </c>
      <c r="G468" s="4" t="inlineStr">
        <is>
          <t>Egy elegáns, fekete színű páraelszívót keres, amely hatékonyan tisztítja a levegőt a konyhában, miközben modern megjelenésével feldobja a tér hangulatát? A Home KPE 6020B TORNADO konyhai páraelszívó stílusos és funkcionális választás, amely 200 m³/h légszállítási teljesítményével gyorsan megszabadítja a konyhát a kellemetlen szagoktól és párától. 
A készülék kiváló minőségű, fekete festett acéllemezből készült, így nemcsak praktikus, de megjelenésében is bármely modern konyha központi eleme lehet. A Home KPE 6020B három választható sebességfokozattal rendelkezik, amelyet egyszerűen állíthat be a nyomógombos mechanikus vezérléssel, így mindig az adott főzési igényhez igazíthatja a teljesítményt. A beépített 1,5 W-os LED lámpa biztosítja, hogy a főzőlap tökéletes megvilágításban legyen, ami még kényelmesebbé és biztonságosabbá teszi a főzést. A készülék alapfelszereltsége egy háromrétegű alumíniumhálós, mosható zsírszűrő, amely hatékonyan szűri meg a zsírrészecskéket, megóvva ezzel a belső alkatrészeket és biztosítva a készülék hosszú élettartamát. 
Emellett a készülékhez tartozik egy szénszűrő is, amely lehetővé teszi a recirkulációs üzemmódot, így akkor is hatékony, ha a konyhában nincs lehetőség külső kivezetésre. A Home KPE 6020B páraelszívó maximális motor teljesítménye 38 W, amely kiváló energiahatékonyságot biztosít (B osztály), alacsony energiafogyasztás mellett. A készülék zajszintje mindössze 64 dB, így nem zavarja a konyhai beszélgetéseket, és kényelmesen használható a mindennapokban is. A 120 mm-es levegő kivezető nyílás hatékonyan biztosítja a friss levegőt, mérete pedig (600 x 500 x 140 mm) ideális a különböző konyhai elrendezésekhez.
Fontos, hogy a páraelszívó helyes felszereléséhez szakember segítségét vegye igénybe, hogy garantált legyen a biztonságos és optimális működés.
Válassza a Home KPE 6020B TORNADO konyhai páraelszívót, ha egy elegáns, fekete készülékkel szeretné frissíteni konyhája légkörét! Ez a hatékony és stílusos páraelszívó garantálja, hogy a főzés ne csak élvezet, de praktikus és kényelmes élmény is legyen minden nap!</t>
        </is>
      </c>
    </row>
    <row r="469">
      <c r="A469" s="3" t="inlineStr">
        <is>
          <t>KPE 6044B</t>
        </is>
      </c>
      <c r="B469" s="2" t="inlineStr">
        <is>
          <t>Home KPE 6044B konyhai páraelszívó TWISTER, két sebességfokozat, légszállítás: 440 m3/h, 105 W, fekete,</t>
        </is>
      </c>
      <c r="C469" s="1" t="n">
        <v>36990.0</v>
      </c>
      <c r="D469" s="7" t="n">
        <f>HYPERLINK("https://www.somogyi.hu/product/home-kpe-6044b-konyhai-paraelszivo-twister-ket-sebessegfokozat-legszallitas-440-m3-h-105-w-fekete-kpe-6044b-18145","https://www.somogyi.hu/product/home-kpe-6044b-konyhai-paraelszivo-twister-ket-sebessegfokozat-legszallitas-440-m3-h-105-w-fekete-kpe-6044b-18145")</f>
        <v>0.0</v>
      </c>
      <c r="E469" s="7" t="n">
        <f>HYPERLINK("https://www.somogyi.hu/data/img/product_main_images/small/18145.jpg","https://www.somogyi.hu/data/img/product_main_images/small/18145.jpg")</f>
        <v>0.0</v>
      </c>
      <c r="F469" s="2" t="inlineStr">
        <is>
          <t>5999084961671</t>
        </is>
      </c>
      <c r="G469" s="4" t="inlineStr">
        <is>
          <t>Szeretné, ha konyhájában egy elegáns, fekete páraelszívó biztosítaná a friss levegőt és a kellemes főzési környezetet? A Home KPE 6044B TWISTER konyhai páraelszívó stílusos megjelenésével és magas teljesítményével ideális választás a modern konyhákba. 
Ez a páraelszívó nemcsak a kinézetével hódít, hanem 440 m³/h légszállítási kapacitásával is, amely hatékonyan eltávolítja a főzés során keletkező párát és szagokat, tiszta és friss levegőt biztosítva. A TWISTER páraelszívó két sebességfokozatú, amelyek között egyszerűen válthat a praktikus billenőkapcsolók segítségével. A készülék emellett beépített 1,5 W-os LED lámpával is rendelkezik, amely kiváló megvilágítást biztosít a főzőlap számára, megkönnyítve ezzel a konyhai feladatokat. A páraelszívó tartozékai között található egy négy rétegű alumíniumhálós, mosható zsírszűrő készlet, amely hatékonyan fogja fel a zsírrészecskéket, így a készülék belső részei tiszták és hosszú élettartamúak maradnak.
A két darabos szénszűrő készlet lehetővé teszi a recirkulációs üzemmódot, ami különösen hasznos, ha nincs lehetőség külső szellőztetésre. A maximális motor teljesítmény 105 W, amely energiatakarékos működést biztosít a C energiaosztályban, miközben a készülék csendes, mindössze 63 dB zajszinttel üzemel, így nem zavarja meg a konyhában folyó beszélgetéseket. A páraelszívó levegő kivezető nyílása 150 mm átmérőjű, de szűkítővel 120 mm-re csökkenthető, így rugalmasan illeszkedik különböző konyhai elrendezésekhez.
Fontos, hogy a páraelszívó helyes felszereléséhez szakember segítségét vegye igénybe, hogy garantált legyen a biztonságos és optimális működés.
Válassza a Home KPE 6044B TWISTER páraelszívót, ha egy erős, mégis elegáns és megbízható eszközt keres, amely friss és tiszta légkört biztosít minden főzés során!</t>
        </is>
      </c>
    </row>
    <row r="470">
      <c r="A470" s="3" t="inlineStr">
        <is>
          <t>KPE 6044S</t>
        </is>
      </c>
      <c r="B470" s="2" t="inlineStr">
        <is>
          <t>Home KPE 6044S konyhai páraelszívó TWISTER, két sebességfokozat, légszállítás: 440 m3/h, 105 W, rozsdamentes acél panel + szürke test</t>
        </is>
      </c>
      <c r="C470" s="1" t="n">
        <v>38990.0</v>
      </c>
      <c r="D470" s="7" t="n">
        <f>HYPERLINK("https://www.somogyi.hu/product/home-kpe-6044s-konyhai-paraelszivo-twister-ket-sebessegfokozat-legszallitas-440-m3-h-105-w-rozsdamentes-acel-panel-szurke-test-kpe-6044s-18144","https://www.somogyi.hu/product/home-kpe-6044s-konyhai-paraelszivo-twister-ket-sebessegfokozat-legszallitas-440-m3-h-105-w-rozsdamentes-acel-panel-szurke-test-kpe-6044s-18144")</f>
        <v>0.0</v>
      </c>
      <c r="E470" s="7" t="n">
        <f>HYPERLINK("https://www.somogyi.hu/data/img/product_main_images/small/18144.jpg","https://www.somogyi.hu/data/img/product_main_images/small/18144.jpg")</f>
        <v>0.0</v>
      </c>
      <c r="F470" s="2" t="inlineStr">
        <is>
          <t>5999084961664</t>
        </is>
      </c>
      <c r="G470" s="4" t="inlineStr">
        <is>
          <t>Szeretne egy olyan konyhai páraelszívót, amely erőteljes teljesítményével és modern megjelenésével kiemelkedik a piacon? A Home KPE 6044S TWISTER páraelszívó nemcsak praktikus, hanem stílusos kiegészítője is lehet konyhájának. 
A rozsdamentes acél panel és szürke test elegáns megjelenést kölcsönöz a készüléknek, amely 440 m³/h légszállítási kapacitásával kiváló választás nagyobb forgalmú konyhák számára is. Ez a páraelszívó hatékonyan távolítja el a főzés közben keletkező párát és szagokat, biztosítva a tiszta levegőt és a kellemes környezetet. A Home KPE 6044S TWISTER egyszerű és kényelmes használatot biztosít a praktikus billenőkapcsolóknak köszönhetően, amelyekkel a két sebességfokozat között választhat, így mindig az igényekhez igazíthatja a készülék teljesítményét. A beépített 1,5 W-os LED lámpa tökéletes megvilágítást biztosít a főzőfelületen, így a konyhai tevékenységek még élvezetesebbé válnak. 
A készülékhez tartozik egy négy rétegű alumíniumhálós, mosható zsírszűrő készlet, amely hatékonyan gyűjti össze a zsír- és szennyeződés-részecskéket, ezáltal védve a belső alkatrészeket és biztosítva a hosszú élettartamot. A szénszűrő készlet lehetővé teszi a recirkulációs üzemmód használatát is, így a készülék akkor is hatékony, ha nincs lehetőség külső szellőztetésre. A páraelszívó maximális motor teljesítménye 105 W, amely alacsony energiafogyasztással és a C energiaosztályú besorolással gazdaságosan működik. A 150 mm-es levegő kivezető nyílás (szűkítővel 120 mm) biztosítja az optimális légáramlást, míg a 63 dB zajszint csendes működést eredményez, így nem zavarja a konyhai beszélgetéseket sem.
Fontos, hogy a páraelszívó helyes felszereléséhez szakember segítségét vegye igénybe, hogy garantált legyen a biztonságos és optimális működés.
Válassza a Home KPE 6044S TWISTER konyhai páraelszívót, ha egy erős, elegáns és megbízható készüléket keres a konyhájába, amely nemcsak hatékonyan, de csendesen is működik!</t>
        </is>
      </c>
    </row>
    <row r="471">
      <c r="A471" s="3" t="inlineStr">
        <is>
          <t>KPE 6020W</t>
        </is>
      </c>
      <c r="B471" s="2" t="inlineStr">
        <is>
          <t>Home KPE 6020W konyhai páraelszívó TORNADO, három sebességfokozat, légszállítás: 200 m3/h, 38 W, 60 cm, fehér</t>
        </is>
      </c>
      <c r="C471" s="1" t="n">
        <v>29790.0</v>
      </c>
      <c r="D471" s="7" t="n">
        <f>HYPERLINK("https://www.somogyi.hu/product/home-kpe-6020w-konyhai-paraelszivo-tornado-harom-sebessegfokozat-legszallitas-200-m3-h-38-w-60-cm-feher-kpe-6020w-18153","https://www.somogyi.hu/product/home-kpe-6020w-konyhai-paraelszivo-tornado-harom-sebessegfokozat-legszallitas-200-m3-h-38-w-60-cm-feher-kpe-6020w-18153")</f>
        <v>0.0</v>
      </c>
      <c r="E471" s="7" t="n">
        <f>HYPERLINK("https://www.somogyi.hu/data/img/product_main_images/small/18153.jpg","https://www.somogyi.hu/data/img/product_main_images/small/18153.jpg")</f>
        <v>0.0</v>
      </c>
      <c r="F471" s="2" t="inlineStr">
        <is>
          <t>5999084961756</t>
        </is>
      </c>
      <c r="G471" s="4" t="inlineStr">
        <is>
          <t>Egy megbízható páraelszívót keres, amely hatékonyan távolítja el a kellemetlen szagokat és párát főzés közben, mindezt diszkrét és modern megjelenéssel? A Home KPE 6020W TORNADO páraelszívó tökéletes választás, ha nagyobb teljesítményre van szüksége egy stílusos készüléktől. 
Ez a fehér festett acéllemezből készült készülék 200 m³/h légszállítási kapacitással rendelkezik, amely ideálissá teszi a közepes és nagyobb méretű konyhák levegőjének tisztántartásához. A Home KPE 6020W TORNADO három választható sebességfokozattal rendelkezik, amelyek közül könnyedén választhat a nyomógombos mechanikus vezérlés segítségével. Az 1,5 W-os LED lámpa biztosítja a főzőfelület hatékony megvilágítását, ami különösen praktikus, ha gyenge fényviszonyok mellett készíti ételeit. A páraelszívó alapfelszereltségéhez tartozik egy háromrétegű alumíniumhálós zsírszűrő, amely mosható, így megőrzi a készülék belső tisztaságát és hosszú élettartamát. 
A tartozék szénszűrő lehetővé teszi a recirkulációs üzemmód használatát is, így abban az esetben is megfelelő választás, ha nincs lehetőség külső kivezetésre. A készülék maximális 38 W motor teljesítmény mellett 64 dB zajszinttel működik, ami elegendő ahhoz, hogy a hatékonyságot minimális zajszinttel ötvözze. A levegő kivezető nyílás 120 mm átmérőjű, amely biztosítja az optimális szellőztetést. A Home KPE 6020W TORNADO mérete (600 x 500 x 140 mm) és klasszikus fehér kialakítása bármely konyhai környezetbe illeszkedik, miközben energiatakarékos működést nyújt, B energiahatékonysági osztályban.
Fontos, hogy a páraelszívó helyes felszereléséhez szakember segítségét vegye igénybe, hogy garantált legyen a biztonságos és optimális működés.
Válassza a Home KPE 6020W TORNADO páraelszívót, és élvezze a friss, tiszta levegőt minden egyes főzés során! Ez a stílusos és hatékony készülék biztosítja konyhája komfortját és a főzés utáni kellemes légkört.</t>
        </is>
      </c>
    </row>
    <row r="472">
      <c r="A472" s="3" t="inlineStr">
        <is>
          <t>KPE 5019B</t>
        </is>
      </c>
      <c r="B472" s="2" t="inlineStr">
        <is>
          <t>Home KPE 5019B konyhai páraelszívó STORM, három sebességfokozat, légszállítás: 190 m3/h, 38 W, 50 cm, fekete</t>
        </is>
      </c>
      <c r="C472" s="1" t="n">
        <v>29190.0</v>
      </c>
      <c r="D472" s="7" t="n">
        <f>HYPERLINK("https://www.somogyi.hu/product/home-kpe-5019b-konyhai-paraelszivo-storm-harom-sebessegfokozat-legszallitas-190-m3-h-38-w-50-cm-fekete-kpe-5019b-18159","https://www.somogyi.hu/product/home-kpe-5019b-konyhai-paraelszivo-storm-harom-sebessegfokozat-legszallitas-190-m3-h-38-w-50-cm-fekete-kpe-5019b-18159")</f>
        <v>0.0</v>
      </c>
      <c r="E472" s="7" t="n">
        <f>HYPERLINK("https://www.somogyi.hu/data/img/product_main_images/small/18159.jpg","https://www.somogyi.hu/data/img/product_main_images/small/18159.jpg")</f>
        <v>0.0</v>
      </c>
      <c r="F472" s="2" t="inlineStr">
        <is>
          <t>5999084961817</t>
        </is>
      </c>
      <c r="G472" s="4" t="inlineStr">
        <is>
          <t>Gondolt már arra, hogy milyen lenne, ha egy elegáns fekete páraelszívó egyszerre biztosítana modern megjelenést és friss levegőt konyhájában? A Home KPE 5019B STORM konyhai páraelszívó tökéletes megoldás mindazok számára, akik a dizájnt és a hatékonyságot egy készülékben szeretnék látni. 
Ez az 50 cm széles, fekete festett acéllemezből készült készülék diszkréten és stílusosan illeszkedik a konyha környezetébe, miközben 190 m³/h légszállítási kapacitásával gyorsan és hatékonyan távolítja el a kellemetlen szagokat és párát. A páraelszívó három sebességfokozattal rendelkezik, amelyeket a nyomógombos mechanikus vezérlés segítségével egyszerűen szabályozhat. Ez lehetővé teszi, hogy mindig az adott főzési intenzitáshoz igazítsa a készülék teljesítményét. A készülékbe épített 1,5 W-os LED világítás biztosítja, hogy a főzőfelület jól látható legyen, ami különösen hasznos az esti főzések során. Az alapfelszereltség része egy háromrétegű alumíniumhálós, mosható zsírszűrő, amely hatékonyan szűri ki a zsír- és szennyeződésrészecskéket, megóvva ezzel a készülék belső részeit. 
Opcionálisan pamutszűrővel is bővíthető a szűrés (KPE 5019/COT), ami további frissességet biztosít. A Home KPE 5019B STORM páraelszívó külső kivezetéses és recirkulációs üzemmódot is támogat, így flexibilisen alkalmazkodik a különböző konyhai elrendezésekhez. Maximális motor teljesítménye 38 W, amely alacsony energiafogyasztás mellett is kiváló hatékonyságot biztosít (B energiahatékonysági osztály). A készülék zajszintje mindössze 61 dB, így működése csendes, és nem zavarja a konyhai beszélgetéseket. A 120 mm átmérőjű levegő kivezető nyílás biztosítja a hatékony légáramlást, a készülék kompakt mérete (500 x 480 x 105 mm) pedig helytakarékos megoldást kínál.
Fontos, hogy a páraelszívó helyes felszereléséhez szakember segítségét vegye igénybe, hogy garantált legyen a biztonságos és optimális működés.
Válassza a Home KPE 5019B STORM páraelszívót, ha egy elegáns, fekete megjelenésű és nagy teljesítményű készülékkel szeretné frissíteni konyhája levegőjét! Ezzel a modern páraelszívóval a főzés élményévé válik, és a konyhája mindig tiszta és friss levegőjű marad!</t>
        </is>
      </c>
    </row>
    <row r="473">
      <c r="A473" s="3" t="inlineStr">
        <is>
          <t>KPE 6020/C</t>
        </is>
      </c>
      <c r="B473" s="2" t="inlineStr">
        <is>
          <t>Home KPE 6020/C aktívszén szűrő TORNADO páraelszívókhoz</t>
        </is>
      </c>
      <c r="C473" s="1" t="n">
        <v>1250.0</v>
      </c>
      <c r="D473" s="7" t="n">
        <f>HYPERLINK("https://www.somogyi.hu/product/home-kpe-6020-c-aktivszen-szuro-tornado-paraelszivokhoz-kpe-6020-c-18155","https://www.somogyi.hu/product/home-kpe-6020-c-aktivszen-szuro-tornado-paraelszivokhoz-kpe-6020-c-18155")</f>
        <v>0.0</v>
      </c>
      <c r="E473" s="7" t="n">
        <f>HYPERLINK("https://www.somogyi.hu/data/img/product_main_images/small/18155.jpg","https://www.somogyi.hu/data/img/product_main_images/small/18155.jpg")</f>
        <v>0.0</v>
      </c>
      <c r="F473" s="2" t="inlineStr">
        <is>
          <t>5999084961770</t>
        </is>
      </c>
      <c r="G473" s="4" t="inlineStr">
        <is>
          <t>KPE 6020/C típusszámú aktívszén szűrő (1 db) tökéletesen illeszkedik minden TORNADO névre keresztelt konyhai páraelszívó családunk tagjához.</t>
        </is>
      </c>
    </row>
    <row r="474">
      <c r="A474" s="3" t="inlineStr">
        <is>
          <t>KPE 9039G</t>
        </is>
      </c>
      <c r="B474" s="2" t="inlineStr">
        <is>
          <t>Home KPE 9039G konyhai páraelszívó CYCLONE érintésvezérlés + kézmozgással vezérlés, három sebességfokozat, légszállítás: 390 m3/h, 105 W,  90 cm</t>
        </is>
      </c>
      <c r="C474" s="1" t="n">
        <v>62090.0</v>
      </c>
      <c r="D474" s="7" t="n">
        <f>HYPERLINK("https://www.somogyi.hu/product/home-kpe-9039g-konyhai-paraelszivo-cyclone-erintesvezerles-kezmozgassal-vezerles-harom-sebessegfokozat-legszallitas-390-m3-h-105-w-90-cm-kpe-9039g-18141","https://www.somogyi.hu/product/home-kpe-9039g-konyhai-paraelszivo-cyclone-erintesvezerles-kezmozgassal-vezerles-harom-sebessegfokozat-legszallitas-390-m3-h-105-w-90-cm-kpe-9039g-18141")</f>
        <v>0.0</v>
      </c>
      <c r="E474" s="7" t="n">
        <f>HYPERLINK("https://www.somogyi.hu/data/img/product_main_images/small/18141.jpg","https://www.somogyi.hu/data/img/product_main_images/small/18141.jpg")</f>
        <v>0.0</v>
      </c>
      <c r="F474" s="2" t="inlineStr">
        <is>
          <t>5999084961633</t>
        </is>
      </c>
      <c r="G474" s="4" t="inlineStr">
        <is>
          <t>Gondolt már arra, milyen lenne, ha egy páraelszívó nemcsak hatékonyan tisztítaná meg a levegőt, hanem a modern technológia segítségével kényelmesebbé tenné a főzést is? A Home KPE 9039G CYCLONE konyhai páraelszívó a legújabb innovációkat ötvözi a stílusos dizájnnal, hogy a konyhában töltött idő egyszerre legyen praktikus és élvezetes. 
Ez a 90 cm széles, SPCC fekete acéllemezből és fekete üvegből készült páraelszívó elegáns kiegészítője lehet minden konyhának, miközben 390 m³/h légszállítási teljesítménnyel gyorsan és hatékonyan távolítja el a főzés közben keletkező párát és szagokat. A CYCLONE páraelszívó érintésvezérléssel és kézmozdulattal is működtethető, így Önnek csak egy mozdulatra van szüksége, hogy elindítsa vagy megállítsa a készüléket. Három sebességfokozat közül választhat, így mindig az adott főzési intenzitáshoz igazíthatja a teljesítményt. A készülék beépített 1,5 W-os LED világítása biztosítja a főzőlap egyenletes megvilágítását, így a főzés minden részlete jól látható és kényelmesen végezhető.
A Home KPE 9039G CYCLONE alapfelszereltségében egy ötrétegű, mosható alumíniumhálós zsírszűrő is található, amely hatékonyan fogja fel a zsíros részecskéket, megvédve a belső alkatrészeket és meghosszabbítva a készülék élettartamát. A készülék tartalmaz egy két darabból álló szénszűrő készletet is, amely lehetővé teszi a recirkulációs üzemmód használatát, ha nincs lehetőség külső szellőztetésre. A 105 W maximális motor teljesítmény és 62 dB zajszint garantálja, hogy a páraelszívó csendesen és hatékonyan működjön, akár hosszabb ideig is.
Fontos, hogy a páraelszívó helyes felszereléséhez szakember segítségét vegye igénybe, hogy garantált legyen a biztonságos és optimális működés.
Válassza a Home KPE 9039G CYCLONE páraelszívót, ha egy kiemelkedően modern, könnyen használható és stílusos megoldásra vágyik! Élvezze a friss levegőt és a legmodernebb technológia nyújtotta kényelmet minden főzés során!</t>
        </is>
      </c>
    </row>
    <row r="475">
      <c r="A475" s="3" t="inlineStr">
        <is>
          <t>KPE 6038S</t>
        </is>
      </c>
      <c r="B475" s="2" t="inlineStr">
        <is>
          <t>Home KPE 6038S konyhai páraelszívó HURRICANE, három sebességfokozat, 2 motoros, légszállítás: 380 m3/h, 200 W, 60cm, rozsdamentes acél</t>
        </is>
      </c>
      <c r="C475" s="1" t="n">
        <v>50290.0</v>
      </c>
      <c r="D475" s="7" t="n">
        <f>HYPERLINK("https://www.somogyi.hu/product/home-kpe-6038s-konyhai-paraelszivo-hurricane-harom-sebessegfokozat-2-motoros-legszallitas-380-m3-h-200-w-60cm-rozsdamentes-acel-kpe-6038s-18148","https://www.somogyi.hu/product/home-kpe-6038s-konyhai-paraelszivo-hurricane-harom-sebessegfokozat-2-motoros-legszallitas-380-m3-h-200-w-60cm-rozsdamentes-acel-kpe-6038s-18148")</f>
        <v>0.0</v>
      </c>
      <c r="E475" s="7" t="n">
        <f>HYPERLINK("https://www.somogyi.hu/data/img/product_main_images/small/18148.jpg","https://www.somogyi.hu/data/img/product_main_images/small/18148.jpg")</f>
        <v>0.0</v>
      </c>
      <c r="F475" s="2" t="inlineStr">
        <is>
          <t>5999084961701</t>
        </is>
      </c>
      <c r="G475" s="4" t="inlineStr">
        <is>
          <t>Szüksége van egy erőteljes és megbízható páraelszívóra, amely hatékonyan tisztítja a levegőt még intenzív főzés közben is? A Home KPE 6038S HURRICANE konyhai páraelszívó kettős motoros kialakításával és rozsdamentes acél kivitelével nemcsak praktikus, de modern megjelenésű eszköz, amelyet bármilyen konyhába ajánlunk. 
A 380 m³/h maximális légszállítási kapacitásának köszönhetően gyorsan és hatékonyan távolítja el a párát és a kellemetlen szagokat, így konyhája mindig friss és tiszta marad. A három sebességfokozat lehetőséget nyújt arra, hogy az aktuális főzési intenzitás szerint szabályozza a páraelszívást, így Ön mindig a legoptimálisabb beállítást használhatja. A nyomógombos mechanikus vezérlés egyszerű és praktikus, biztosítva a könnyű kezelhetőséget. A készülék tartalmaz egy 1,5 W-os LED lámpát, amely hatékonyan megvilágítja a főzőlapot, ezzel növelve a főzés kényelmét és biztonságát.
A Home KPE 6038S HURRICANE alapfelszereltségéhez tartozik egy háromrétegű alumíniumhálós, mosható zsírszűrő, amely megakadályozza a zsír- és olajlerakódásokat, valamint két darabból álló szénszűrő készlet is rendelkezésre áll, így a páraelszívó külső kivezetés és recirkulációs üzemmód esetén egyaránt hatékonyan működik. A készülék két motorral felszerelt, amely fokozott teljesítményt és hatékonyságot biztosít – a 200 W maximális motor teljesítmény kifejezetten nagy forgalmú konyhákhoz ideális, ahol intenzív főzés folyik.
A Home KPE 6038S 120 mm-es levegő kivezető nyílással rendelkezik, amely optimális légáramlást nyújt. A 66 dB zajszint mellett csendesen üzemel, így a konyhai beszélgetéseket sem zavarja meg. Méretei – 600 x 500 x 140 mm – révén ideális 60 cm széles főzőlapokhoz, energiatakarékos működése pedig D energiaosztályú besorolást kapott.
Fontos, hogy a páraelszívó helyes felszereléséhez szakember segítségét vegye igénybe, hogy garantált legyen a biztonságos és optimális működés.
Válassza a Home KPE 6038S HURRICANE páraelszívót, ha egy igazán erős, modern és hatékony készüléket keres, amely megkönnyíti a konyhai munkát és frissíti a légkört minden főzés során!</t>
        </is>
      </c>
    </row>
    <row r="476">
      <c r="A476" s="6" t="inlineStr">
        <is>
          <t xml:space="preserve">   Háztartási gép, eszköz / Műanyag poharak</t>
        </is>
      </c>
      <c r="B476" s="6" t="inlineStr">
        <is>
          <t/>
        </is>
      </c>
      <c r="C476" s="6" t="inlineStr">
        <is>
          <t/>
        </is>
      </c>
      <c r="D476" s="6" t="inlineStr">
        <is>
          <t/>
        </is>
      </c>
      <c r="E476" s="6" t="inlineStr">
        <is>
          <t/>
        </is>
      </c>
      <c r="F476" s="6" t="inlineStr">
        <is>
          <t/>
        </is>
      </c>
      <c r="G476" s="6" t="inlineStr">
        <is>
          <t/>
        </is>
      </c>
    </row>
    <row r="477">
      <c r="A477" s="3" t="inlineStr">
        <is>
          <t>PHR Reims17-6</t>
        </is>
      </c>
      <c r="B477" s="2" t="inlineStr">
        <is>
          <t>PHR Reims17-6 törhetetlen pezsgőspohár szett, 17 cl, mikrozható, mosogatógépben mosható, 6 db/szett</t>
        </is>
      </c>
      <c r="C477" s="1" t="n">
        <v>1850.0</v>
      </c>
      <c r="D477" s="7" t="n">
        <f>HYPERLINK("https://www.somogyi.hu/product/phr-reims17-6-torhetetlen-pezsgospohar-szett-17-cl-mikrozhato-mosogatogepben-moshato-6-db-szett-phr-reims17-6-18171","https://www.somogyi.hu/product/phr-reims17-6-torhetetlen-pezsgospohar-szett-17-cl-mikrozhato-mosogatogepben-moshato-6-db-szett-phr-reims17-6-18171")</f>
        <v>0.0</v>
      </c>
      <c r="E477" s="7" t="n">
        <f>HYPERLINK("https://www.somogyi.hu/data/img/product_main_images/small/18171.jpg","https://www.somogyi.hu/data/img/product_main_images/small/18171.jpg")</f>
        <v>0.0</v>
      </c>
      <c r="F477" s="2" t="inlineStr">
        <is>
          <t>2221619300017</t>
        </is>
      </c>
      <c r="G477" s="4" t="inlineStr">
        <is>
          <t>Olyan elegáns pezsgőspohár szettet keres, amely tökéletes választás minden ünnepi alkalomra, miközben törhetetlen és rendkívül tartós? A PHR Reims17-6 törhetetlen pezsgőspohár szett exkluzív megjelenésével és kiváló tulajdonságaival biztosítja, hogy minden koccintás stílusos és biztonságos legyen. 
A 17 cl-es űrtartalom elegendő helyet biztosít a pezsgőnek és habzóbornak, hogy azok ízei és aromái maximálisan érvényesüljenek, ezzel is fokozva a különleges alkalmak élményét. Ez a pezsgőspohár szett újrahasznosítható anyagból készült, amely nemcsak környezetbarát, hanem rendkívül strapabíró is, így ideális választás szabadtéri eseményekhez, kerti partikhoz és családi rendezvényekhez, ahol a törékeny üvegpoharak helyett biztonságosabb alternatíva szükséges. Az élelmiszeripari minőség garantálja, hogy ezek a poharak biztonságosan használhatók minden italféleséghez, míg a gravírozhatóság lehetővé teszi, hogy személyre szabott poharakat készíttessen, amelyek különleges ajándékok is lehetnek. A poharak mikrozhatók és fagyaszthatók, így sokféle módon alkalmazhatók, míg a mosogatógépben való moshatóságuk megkönnyíti a tisztítást és a mindennapos használatot is lehetővé teszi. A poharak mérete (219 x 56 x 72 mm) és mindössze 75 g-os súlyuk kényelmes fogást biztosít, így a használatuk során nemcsak elegánsak, de praktikusak is. A szett hat darab poharat tartalmaz, így akár kisebb társaságok, családi összejövetelek számára is ideális megoldás, amikor mindenki egyenlő részt kérhet az ünneplésből.
Válassza a PHR Reims17-6 törhetetlen pezsgőspohár szettet, hogy minden alkalom felejthetetlen és elegáns lehessen, anélkül, hogy aggódnia kellene a törékeny poharak miatt!</t>
        </is>
      </c>
    </row>
    <row r="478">
      <c r="A478" s="3" t="inlineStr">
        <is>
          <t>PHR Tokaj38-4</t>
        </is>
      </c>
      <c r="B478" s="2" t="inlineStr">
        <is>
          <t>PHR Tokaj38-4 törhetetlen talpas borospohár szett, 38 cl, mosógépben mosható, mikrozható, 4 db/csomag</t>
        </is>
      </c>
      <c r="C478" s="1" t="n">
        <v>4090.0</v>
      </c>
      <c r="D478" s="7" t="n">
        <f>HYPERLINK("https://www.somogyi.hu/product/phr-tokaj38-4-torhetetlen-talpas-borospohar-szett-38-cl-mosogepben-moshato-mikrozhato-4-db-csomag-phr-tokaj38-4-18170","https://www.somogyi.hu/product/phr-tokaj38-4-torhetetlen-talpas-borospohar-szett-38-cl-mosogepben-moshato-mikrozhato-4-db-csomag-phr-tokaj38-4-18170")</f>
        <v>0.0</v>
      </c>
      <c r="E478" s="7" t="n">
        <f>HYPERLINK("https://www.somogyi.hu/data/img/product_main_images/small/18170.jpg","https://www.somogyi.hu/data/img/product_main_images/small/18170.jpg")</f>
        <v>0.0</v>
      </c>
      <c r="F478" s="2" t="inlineStr">
        <is>
          <t>2221619200010</t>
        </is>
      </c>
      <c r="G478" s="4" t="inlineStr">
        <is>
          <t>Szeretne egy elegáns borospohár szettet, amely nemcsak esztétikus, hanem törhetetlen és rendkívül praktikus is? A PHR Tokaj38-4 törhetetlen talpas borospohár szett tökéletes választás azok számára, akik a stílusos borozás élményét a tartóssággal és funkcionalitással ötvöznék. 
A poharak exkluzív kivitelben készültek, 38 cl-es űrtartalmuk ideális minden borfajtához, legyen szó vörös- vagy fehérborról, így bármely alkalmat különlegessé varázsolhatnak. Ezek a poharak újrahasznosítható anyagból készültek, és élelmiszeripari minősítésük biztosítja, hogy megfelelnek a legmagasabb egészségügyi és biztonsági előírásoknak. Törhetetlen kivitelük rendkívül ellenállóvá teszi őket, így ideálisak családi összejövetelekhez, szabadtéri rendezvényekhez vagy akár kerti partikhoz, ahol a hagyományos üvegpoharak nem feltétlenül lennének a legpraktikusabbak. További előnyük, hogy mikrozhatók, fagyaszthatók és gravírozhatók, így személyre szabott dekorációval is elláthatók, ami kiváló ajándékká teszi őket. A PHR Tokaj38-4 borospoharak mosogatógépben moshatók, így könnyen tisztíthatók és mindennapi használatra is alkalmasak. Az 219 x 60 x 78 mm-es méretük kényelmes fogást biztosít, a mindössze 97 g-os súlyuk pedig könnyed kezelhetőséget kínál. A szett négy darab poharat tartalmaz, így az egész társaság stílusosan élvezheti kedvenc borait.
Válassza a PHR Tokaj38-4 törhetetlen talpas borospohár szettet, és élvezze a minőségi borozás élményét a tartósság és a stílus jegyében!</t>
        </is>
      </c>
    </row>
    <row r="479">
      <c r="A479" s="3" t="inlineStr">
        <is>
          <t>PHR Mojito32-4</t>
        </is>
      </c>
      <c r="B479" s="2" t="inlineStr">
        <is>
          <t>PHR Mojito32-4 törhetetlen egyenes pohár szett, 32 cl, mikrozható, mosogatógépben mosható, 4 db/szett</t>
        </is>
      </c>
      <c r="C479" s="1" t="n">
        <v>2390.0</v>
      </c>
      <c r="D479" s="7" t="n">
        <f>HYPERLINK("https://www.somogyi.hu/product/phr-mojito32-4-torhetetlen-egyenes-pohar-szett-32-cl-mikrozhato-mosogatogepben-moshato-4-db-szett-phr-mojito32-4-18168","https://www.somogyi.hu/product/phr-mojito32-4-torhetetlen-egyenes-pohar-szett-32-cl-mikrozhato-mosogatogepben-moshato-4-db-szett-phr-mojito32-4-18168")</f>
        <v>0.0</v>
      </c>
      <c r="E479" s="7" t="n">
        <f>HYPERLINK("https://www.somogyi.hu/data/img/product_main_images/small/18168.jpg","https://www.somogyi.hu/data/img/product_main_images/small/18168.jpg")</f>
        <v>0.0</v>
      </c>
      <c r="F479" s="2" t="inlineStr">
        <is>
          <t>2221619000016</t>
        </is>
      </c>
      <c r="G479" s="4" t="inlineStr">
        <is>
          <t>Egy olyan pohárszettet keres, amely stílusos megjelenésével, tartósságával és sokoldalúságával minden alkalomhoz tökéletesen illeszkedik? A PHR Mojito32-4 törhetetlen egyenes pohár szett az ideális választás! 
Ez a kiváló minőségű pohárszett 32 cl-es űrtartalmával bármilyen italfajtához alkalmas, legyen szó koktélokról, üdítőkről vagy frissítő vízről. A poharak exkluzív kivitelben készültek, amelyek elegánsan illeszkednek minden asztalterítékhez. Újrahasznosítható anyagból készültek, és megfelelnek az élelmiszeripari minőségi szabványoknak, így biztonságosan használhatók. A törhetetlen kialakítás különösen alkalmassá teszi őket szabadtéri rendezvényekre, családi összejövetelekre vagy akár kempingezéshez, mivel nem kell aggódnia a sérülés miatt. További előnyük, hogy mikrozhatók, fagyaszthatók és akár gravírozhatók is, így személyre szabhatók, ami különlegessé teszi őket ajándékként is. A PHR Mojito32-4 poharak mosogatógépben is moshatók, így könnyedén tisztíthatók, és mindennapos használatra is ideálisak. A poharak mérete (143 x 67 x 55 mm) és mindössze 97 g súlyuk kényelmes fogást és könnyű használatot biztosít, így bármilyen eseményen kellemes élményt nyújtanak. A szett négy poharat tartalmaz, így a család vagy a barátok is egyaránt élvezhetik az italozást ezzel a praktikus és stílusos pohárkészlettel.
Válassza a PHR Mojito32-4 törhetetlen egyenes pohár szettet, és élvezze a megbízható és esztétikus italfogyasztás élményét minden alkalommal!</t>
        </is>
      </c>
    </row>
    <row r="480">
      <c r="A480" s="3" t="inlineStr">
        <is>
          <t>PHR Stemless40B-4</t>
        </is>
      </c>
      <c r="B480" s="2" t="inlineStr">
        <is>
          <t>PHR Stemless40B-4 törhetetlen öblös vizespohár szett, 40 cl, mikrozható, mosogatógépben mosható, 4 db/szett</t>
        </is>
      </c>
      <c r="C480" s="1" t="n">
        <v>3390.0</v>
      </c>
      <c r="D480" s="7" t="n">
        <f>HYPERLINK("https://www.somogyi.hu/product/phr-stemless40b-4-torhetetlen-oblos-vizespohar-szett-40-cl-mikrozhato-mosogatogepben-moshato-4-db-szett-phr-stemless40b-4-18176","https://www.somogyi.hu/product/phr-stemless40b-4-torhetetlen-oblos-vizespohar-szett-40-cl-mikrozhato-mosogatogepben-moshato-4-db-szett-phr-stemless40b-4-18176")</f>
        <v>0.0</v>
      </c>
      <c r="E480" s="7" t="n">
        <f>HYPERLINK("https://www.somogyi.hu/data/img/product_main_images/small/18176.jpg","https://www.somogyi.hu/data/img/product_main_images/small/18176.jpg")</f>
        <v>0.0</v>
      </c>
      <c r="F480" s="2" t="inlineStr">
        <is>
          <t>2221619800012</t>
        </is>
      </c>
      <c r="G480" s="4" t="inlineStr">
        <is>
          <t>Olyan vizespohár szettet keres, amely tartós, elegáns és bármilyen alkalomra tökéletes választás? A PHR Stemless40B-4 törhetetlen öblös vizespohár szett ideális megoldás mindennapi használatra, valamint különleges eseményekre, ahol az esztétika és a praktikum egyaránt fontos. 
A 40 cl-es űrtartalmú poharak öblös kialakításuknak köszönhetően bármilyen italfogyasztásra alkalmasak, legyen szó vízről, koktélokról vagy üdítőkről, így bármely összejövetelen stílusosan szolgálhat fel italokat. A poharak törhetetlen, újrahasznosítható anyagból készültek, ami garantálja, hogy nem kell aggódnia a törékeny üvegpoharak okozta balesetek miatt. A poharak élelmiszeripari minősítéssel rendelkeznek, ami biztosítja, hogy biztonságosan használhatók, akár forró italok esetén is. Ráadásul ezek a poharak mikrozhatók és fagyaszthatók, így rendkívül sokoldalúan alkalmazhatók, míg a gravírozhatóság lehetővé teszi a személyre szabást, ami különlegessé teszi őket ajándékként is. A PHR Stemless40B-4 poharak mosogatógépben moshatók, így könnyen tisztán tarthatók, és mindennapi használatra is kiválóak. Méretük (105 x 88 x 58 mm) és könnyű, mindössze 71 g-os súlyuk kényelmes fogást biztosít, így hosszabb használat során is komfortosak maradnak. A szett négy darab poharat tartalmaz, ami ideálissá teszi családi vacsorákra, baráti összejövetelekre, ahol mindenki stílusosan fogyaszthatja italát.
Válassza a PHR Stemless40B-4 törhetetlen öblös vizespohár szettet, ha egy sokoldalú, tartós és elegáns pohárkészlettel szeretné feldobni az italfogyasztás élményét minden alkalommal!</t>
        </is>
      </c>
    </row>
    <row r="481">
      <c r="A481" s="3" t="inlineStr">
        <is>
          <t>PHR Coffe26-4</t>
        </is>
      </c>
      <c r="B481" s="2" t="inlineStr">
        <is>
          <t>Home PHR Coffe26-4 törhetetlen kávéspohár szett, 26 cl, 4 db / csomag</t>
        </is>
      </c>
      <c r="C481" s="1" t="n">
        <v>2890.0</v>
      </c>
      <c r="D481" s="7" t="n">
        <f>HYPERLINK("https://www.somogyi.hu/product/home-phr-coffe26-4-torhetetlen-kavespohar-szett-26-cl-4-db-csomag-phr-coffe26-4-18915","https://www.somogyi.hu/product/home-phr-coffe26-4-torhetetlen-kavespohar-szett-26-cl-4-db-csomag-phr-coffe26-4-18915")</f>
        <v>0.0</v>
      </c>
      <c r="E481" s="7" t="n">
        <f>HYPERLINK("https://www.somogyi.hu/data/img/product_main_images/small/18915.jpg","https://www.somogyi.hu/data/img/product_main_images/small/18915.jpg")</f>
        <v>0.0</v>
      </c>
      <c r="F481" s="2" t="inlineStr">
        <is>
          <t>2221690900045</t>
        </is>
      </c>
      <c r="G481" s="4" t="inlineStr">
        <is>
          <t>Szeretne egy stílusos és praktikus kávéspohár szettet, amely minden alkalomra tökéletes választás? A Home PHR Coffe26-4 törhetetlen kávéspohár szett minden kávérajongó álma!
Ez a kiváló minőségű kávéspohár szett újrahasznosítható anyagból készült, így környezetbarát és tartós választás. Az élelmiszeripari minőség garantálja, hogy a poharak biztonságosak és egészségesek. A 26 cl űrtartalom elegendő helyet biztosít kedvenc kávéjának, míg az exkluzív kivitel stílust és eleganciát kölcsönöz minden kávészünetnek.
A Home PHR Coffe26-4 kávéspohár szett mikrózható, fagyasztható, és gravírozható, így sokoldalúan használható és könnyen személyre szabható. A poharak mosogatógépben moshatók, így tisztításuk egyszerű és gyors. Méretük 112 x 78 x 78 mm, súlyuk pedig mindössze 112 g, így kényelmesen kezelhetők és tárolhatók.
Ne hagyja ki ezt a lehetőséget, hogy kávézási élményeit egy elegáns és praktikus pohár szettel tegye teljessé! Szerezze be a Home PHR Coffe26-4 törhetetlen kávéspohár szettet még ma, és élvezze kedvenc italát stílusosan és biztonságosan!</t>
        </is>
      </c>
    </row>
    <row r="482">
      <c r="A482" s="6" t="inlineStr">
        <is>
          <t xml:space="preserve">   Háztartási gép, eszköz / Elektromos vízmelegítő</t>
        </is>
      </c>
      <c r="B482" s="6" t="inlineStr">
        <is>
          <t/>
        </is>
      </c>
      <c r="C482" s="6" t="inlineStr">
        <is>
          <t/>
        </is>
      </c>
      <c r="D482" s="6" t="inlineStr">
        <is>
          <t/>
        </is>
      </c>
      <c r="E482" s="6" t="inlineStr">
        <is>
          <t/>
        </is>
      </c>
      <c r="F482" s="6" t="inlineStr">
        <is>
          <t/>
        </is>
      </c>
      <c r="G482" s="6" t="inlineStr">
        <is>
          <t/>
        </is>
      </c>
    </row>
    <row r="483">
      <c r="A483" s="3" t="inlineStr">
        <is>
          <t>17451000000071</t>
        </is>
      </c>
      <c r="B483" s="2" t="inlineStr">
        <is>
          <t>Midea 17451000000071 hőkorlátozó Midea D100-20ED6 és D80-20ED6 bojlerhez</t>
        </is>
      </c>
      <c r="C483" s="1" t="n">
        <v>4990.0</v>
      </c>
      <c r="D483" s="7" t="n">
        <f>HYPERLINK("https://www.somogyi.hu/product/midea-17451000000071-hokorlatozo-midea-d100-20ed6-es-d80-20ed6-bojlerhez-17451000000071-18697","https://www.somogyi.hu/product/midea-17451000000071-hokorlatozo-midea-d100-20ed6-es-d80-20ed6-bojlerhez-17451000000071-18697")</f>
        <v>0.0</v>
      </c>
      <c r="E483" s="7" t="n">
        <f>HYPERLINK("https://www.somogyi.hu/data/img/product_main_images/small/18697.jpg","https://www.somogyi.hu/data/img/product_main_images/small/18697.jpg")</f>
        <v>0.0</v>
      </c>
      <c r="F483" s="2" t="inlineStr">
        <is>
          <t>5999084967154</t>
        </is>
      </c>
      <c r="G483" s="4" t="inlineStr">
        <is>
          <t>Hogyan biztosíthatja, hogy bojlerének mindkét tartálya megfelelően védett legyen a túlmelegedéstől?
 A Midea 17451000000071 hőkorlátozó ideális megoldás a Midea D100-20ED6 és D80-20ED6 típusú bojlerekhez, különleges kialakítása révén egyszerre két független hőmérséklet-szabályozó egységet biztosít, így mindkét tartály egyidejű védelmét ellátja. Ez a precíz és megbízható hőkioldó a bojler zavartalan működésének kulcsfontosságú eleme, amely segít elkerülni a túlmelegedés okozta problémákat, és növeli a készülék élettartamát.
Két független hőkorlátozó egység a maximális védelemért
Ez a hőkorlátozó különlegessége, hogy két független egységet tartalmaz, amelyek külön-külön szabályozzák a bojler két tartályát. Minden egységhez két kapcsoló tartozik, amelyek egyidejűleg szakítják meg a fázis és a nulla vezetéket, biztosítva ezzel a teljes körű elektromos leválasztást túlmelegedés esetén. Az egységek T 100°C-os kioldási hőmérsékleten működnek, amely hatékonyan védi a rendszert a káros hőhatásoktól.
Kompakt kialakítás és pontos mérés
A hőkorlátozó 80 x 6 mm-es mérőszondái pontos hőmérséklet-érzékelést tesznek lehetővé, amely elengedhetetlen a precíz működéshez. A 40 cm-es mérővezeték elegendő hosszúságot biztosít a kényelmes telepítéshez és csatlakoztatáshoz, míg a 55 x 56/76 x 42 mm-es készülékház kompakt mérete révén könnyen beépíthető a bojler elektromos rendszerébe.
Rögzítőkerettel ellátott kialakítás az egyszerű telepítésért
A hőkorlátozóhoz tartozó rögzítőkeret megkönnyíti a beszerelést, így gyorsan és biztonságosan rögzíthető a megfelelő helyre. A 6,3-0,8 mm-es tűzősarus villamos csatlakozások szabványos kialakítása egyszerűvé teszi a bojler elektromos rendszeréhez való csatlakoztatást, minimalizálva a telepítési időt.
Miért válassza a Midea 17451000000071 hőkorlátozót?
– Két különálló egységgel védi a bojler mindkét tartályát. 
– Precíz hőérzékelés a pontos működés érdekében. 
– Nagy terhelhetőség (20 A), amely biztosítja a hosszú távú megbízhatóságot. 
– Egyszerű és gyors telepítés a szabványos csatlakozóknak és rögzítőkeretnek köszönhetően. 
– Elengedhetetlen alkatrész a bojler biztonságos működéséhez.
Védje meg bojlerének mindkét tartályát a túlmelegedéstől, és biztosítsa a hosszú távú, problémamentes működést a Midea 17451000000071 hőkorlátozóval! Rendelje meg most, és élvezze a nyugalmat, amit a biztonságos és megbízható vízmelegítés nyújt!</t>
        </is>
      </c>
    </row>
    <row r="484">
      <c r="A484" s="3" t="inlineStr">
        <is>
          <t>D100-15FG</t>
        </is>
      </c>
      <c r="B484" s="2" t="inlineStr">
        <is>
          <t>MIDEA D100-15FG elektromos vízmelegítő, bojler, 1500 W, 100 liter, zománcozott víztartály és fűtőszál, mechanikus vezérlés</t>
        </is>
      </c>
      <c r="C484" s="1" t="n">
        <v>77990.0</v>
      </c>
      <c r="D484" s="7" t="n">
        <f>HYPERLINK("https://www.somogyi.hu/product/midea-d100-15fg-elektromos-vizmelegito-bojler-1500-w-100-liter-zomancozott-viztartaly-es-futoszal-mechanikus-vezerles-d100-15fg-18216","https://www.somogyi.hu/product/midea-d100-15fg-elektromos-vizmelegito-bojler-1500-w-100-liter-zomancozott-viztartaly-es-futoszal-mechanikus-vezerles-d100-15fg-18216")</f>
        <v>0.0</v>
      </c>
      <c r="E484" s="7" t="n">
        <f>HYPERLINK("https://www.somogyi.hu/data/img/product_main_images/small/18216.jpg","https://www.somogyi.hu/data/img/product_main_images/small/18216.jpg")</f>
        <v>0.0</v>
      </c>
      <c r="F484" s="2" t="inlineStr">
        <is>
          <t>6939962591841</t>
        </is>
      </c>
      <c r="G484" s="4" t="inlineStr">
        <is>
          <t>Gondolt már arra, milyen praktikus lenne egy megbízható és könnyen kezelhető vízmelegítő, ami nem zavarja összetett digitális vezérlőpanelekkel? A Midea D100-15FG elektromos bojler pont ilyen: egyszerű, mégis hatékony megoldást kínál a mindennapi komfort érdekében, 1500 wattos teljesítményével és 100 literes kapacitásával. 
Az IPX4 vízállósági besorolás biztosítja a készülék biztonságos működését nedves környezetben is, míg a függőleges falra szerelhetőség lehetővé teszi, hogy még a szűkös helyiségekben is könnyen felszerelhető legyen. A tekerőgombos mechanikus vezérlés és az analóg hőmérő révén a hőmérséklet-szabályozás gyerekjáték. Zománcozott víztartály és fűtőszál garantálja a hosszú élettartamot, a kapilláris termosztát pedig a pontos hőmérséklet-szabályozást a 30-80°C tartományban. 
Földelt csatlakozódugóval és 115 cm hosszú tápkábellel láttuk el a készüléket így biztonságos és egyszerűen csatlakoztatható. A magnézium anód, melynek méretei ∅20 x 297 mm, védelmet nyújt a víztartály számára a korrózióval szemben. A készülék méretei ∅450 x 977 mm, energiahatékonysági osztálya pedig C, ami kedvező működési költségeket eredményezhet. 
Ne hagyja ki az egyszerűség és megbízhatóság tökéletes kombinációját! A Midea D100-15FG vízmelegítővel nem csupán energiát takaríthat meg, de a fürdőszobája is átláthatóbb, rendezettebb lesz. Válassza az egyszerű, mégis hatékony megoldásokat!</t>
        </is>
      </c>
    </row>
    <row r="485">
      <c r="A485" s="3" t="inlineStr">
        <is>
          <t>17451000009773</t>
        </is>
      </c>
      <c r="B485" s="2" t="inlineStr">
        <is>
          <t>Midea 17451000009773 vízhőmérő Midea D100-15FG és D50-15FG valamint D80-15FG bojlerhez</t>
        </is>
      </c>
      <c r="C485" s="1" t="n">
        <v>779.0</v>
      </c>
      <c r="D485" s="7" t="n">
        <f>HYPERLINK("https://www.somogyi.hu/product/midea-17451000009773-vizhomero-midea-d100-15fg-es-d50-15fg-valamint-d80-15fg-bojlerhez-17451000009773-18693","https://www.somogyi.hu/product/midea-17451000009773-vizhomero-midea-d100-15fg-es-d50-15fg-valamint-d80-15fg-bojlerhez-17451000009773-18693")</f>
        <v>0.0</v>
      </c>
      <c r="E485" s="7" t="n">
        <f>HYPERLINK("https://www.somogyi.hu/data/img/product_main_images/small/18693.jpg","https://www.somogyi.hu/data/img/product_main_images/small/18693.jpg")</f>
        <v>0.0</v>
      </c>
      <c r="F485" s="2" t="inlineStr">
        <is>
          <t>5999084967116</t>
        </is>
      </c>
      <c r="G485" s="4" t="inlineStr">
        <is>
          <t>Hogyan tudhatja meg egyszerűen és gyorsan, hogy bojlerének vízhőmérséklete az optimális tartományban van-e?
A Midea 17451000009773 vízhőmérő kifejezetten a Midea D100-15FG, D50-15FG és D80-15FG típusú bojlerekhez lett tervezve, hogy megbízhatóan mutassa a tartályban lévő víz aktuális hőmérsékletét. Mechanikus, óramutató-szerű kijelzője azonnal egyértelmű visszajelzést ad, így Ön mindig tudni fogja, mikor érte el a víz a kívánt hőfokot.
Könnyen leolvasható mechanikus kijelző
A vízhőmérő praktikus, mechanikus kijelzővel rendelkezik, amely az óramutató elvén működik. A skálán LOW és HIGH feliratok segítik a gyors tájékozódást, így akár távolabbról is könnyedén ellenőrizheti, hogy a víz hőmérséklete megfelelő-e. A kijelző egyszerűsége nemcsak a gyors leolvashatóságot biztosítja, hanem hosszú távú, problémamentes működést is garantál.
Masszív és pontos kialakítás
A hőmérő 72 mm átmérőjű, amely elegendően nagy ahhoz, hogy jól látható legyen, ugyanakkor kompakt mérete miatt könnyen illeszkedik a bojler kialakításába. A készülék vastagsága 36 mm, míg a rögzítési felületen kívüli rész mindössze 10 mm, így minimális helyet foglal el a bojler felületén. A hőérzékelő gomba 16,2 mm átmérőjű, ami garantálja a pontos hőmérséklet-érzékelést, miközben a 20 mm-es rögzítési furat lehetővé teszi a stabil és egyszerű beépítést.
Egyszerű telepítés műanyag rögzítőfülekkel
A vízhőmérő telepítése rendkívül egyszerű, köszönhetően a műanyag rögzítőfüleknek, amelyek biztos tartást nyújtanak. Ez a megoldás lehetővé teszi, hogy a hőmérő szorosan illeszkedjen a bojlerhez, és hosszú távon is stabilan a helyén maradjon, anélkül hogy további rögzítőelemekre lenne szükség.
Miért válassza a Midea 17451000009773 vízhőmérőt?
– Megbízható és pontos hőmérséklet-érzékelés a Midea bojlerekhez optimalizálva.
– Egyszerűen leolvasható mechanikus kijelző az azonnali tájékozódásért.
– Könnyű telepítés műanyag rögzítőfülek segítségével.
– Strapabíró kialakítás és hosszú élettartam a bojler problémamentes működése érdekében.
– Kompatibilis a Midea D100-15FG, D50-15FG és D80-15FG típusú bojlerekkel.
Tartsa mindig ellenőrzés alatt bojlerének vízhőmérsékletét a Midea 17451000009773 vízhőmérővel! Rendelje meg most, és élvezze a pontos hőmérséklet-szabályozás előnyeit, amelyek hozzájárulnak a kényelmes és energiatakarékos vízmelegítéshez!</t>
        </is>
      </c>
    </row>
    <row r="486">
      <c r="A486" s="3" t="inlineStr">
        <is>
          <t>17451000000063</t>
        </is>
      </c>
      <c r="B486" s="2" t="inlineStr">
        <is>
          <t>MIDEA 17451000000063 hőkorlátozó D10-20VD1(O), D10-20VD1(U)  bojlerhez</t>
        </is>
      </c>
      <c r="C486" s="1" t="n">
        <v>729.0</v>
      </c>
      <c r="D486" s="7" t="n">
        <f>HYPERLINK("https://www.somogyi.hu/product/midea-17451000000063-hokorlatozo-d10-20vd1-o-d10-20vd1-u-bojlerhez-17451000000063-18700","https://www.somogyi.hu/product/midea-17451000000063-hokorlatozo-d10-20vd1-o-d10-20vd1-u-bojlerhez-17451000000063-18700")</f>
        <v>0.0</v>
      </c>
      <c r="E486" s="7" t="n">
        <f>HYPERLINK("https://www.somogyi.hu/data/img/product_main_images/small/18700.jpg","https://www.somogyi.hu/data/img/product_main_images/small/18700.jpg")</f>
        <v>0.0</v>
      </c>
      <c r="F486" s="2" t="inlineStr">
        <is>
          <t>5999084967185</t>
        </is>
      </c>
      <c r="G486" s="4" t="inlineStr">
        <is>
          <t>Hogyan óvhatja meg bojlerét a túlmelegedéstől és biztosíthatja annak hosszú távú, biztonságos működését? 
A Midea 17451000000063 hőkorlátozó kifejezetten a Midea D10-20VD1(O) és Midea D10-20VD1(U) bojlerekhez készült, és megbízható védelmet nyújt a túlmelegedés okozta meghibásodások ellen. Ez a hőkioldó precíz működésének köszönhetően automatikusan megszakítja az áramellátást, ha a bojler hőmérséklete eléri a beállított határértéket, így növelve a készülék élettartamát és a felhasználók biztonságát.
Precíz hővédelem klixon technológiával
Ez a hőkorlátozó klixon hőkioldóként működik, ami gyors és megbízható hőmérséklet-szabályozást tesz lehetővé. A készülék T 105°C-os maximális hőmérsékleten aktiválódik, így hatékonyan megelőzi a bojler túlhevülését, ami a legtöbb meghibásodás egyik leggyakoribb oka. A hőkorlátozó működése automatikus, így nincs szükség folyamatos felügyeletre.
Nagy terhelhetőség és megbízható kapcsolás
A 250 V-os feszültség és 16 A áramerősség terhelhetőséggel rendelkező hőkorlátozó a Midea bojlerek elektromos rendszeréhez optimalizált. A 4 érintkezős / 2 kapcsolós kialakítás lehetővé teszi a fázis és nulla vezeték egyidejű megszakítását, így fokozott biztonságot nyújt a készülék és a felhasználók számára egyaránt.
Egyszerű csatlakoztatás és szabványos kialakítás
A hőkorlátozó 6,3-0,8 mm-es tűzősarus villamos csatlakozása lehetővé teszi a gyors és egyszerű telepítést a megfelelő bojler típusokhoz. A 24 mm-es átmérő kompakt mérete révén könnyedén beépíthető a bojler elektromos rendszerébe anélkül, hogy az további átalakítást igényelne.
Miért érdemes a Midea 17451000000063 hőkorlátozót választani?
– Kifejezetten a Midea D10-20VD1(O) és D10-20VD1(U) bojlerekhez tervezett. 
– Precíz klixon technológia a túlmelegedés elleni védelemhez. 
– Nagy terhelhetőség és biztonságos kapcsolás a hosszú távú megbízhatóság érdekében. 
– Gyors és egyszerű telepíthetőség a szabványos csatlakozóknak köszönhetően. 
– Nélkülözhetetlen biztonsági alkatrész a bojler zavartalan működéséhez.
Ne hagyja, hogy egy váratlan túlmelegedés kárt tegyen bojlerében! Válassza a Midea 17451000000063 hőkorlátozót, és gondoskodjon készüléke maximális biztonságáról! Rendelje meg most, és élvezze a hosszabb élettartamot és a nyugodt, problémamentes használatot!</t>
        </is>
      </c>
    </row>
    <row r="487">
      <c r="A487" s="3" t="inlineStr">
        <is>
          <t>17451000008894</t>
        </is>
      </c>
      <c r="B487" s="2" t="inlineStr">
        <is>
          <t>MIDEA 17451000008894 fűtő egység D50-15FG bojlerhez, 1500 W, magnézium anóddal, zománcozott fűtőszál, szilikon gyűrűvel</t>
        </is>
      </c>
      <c r="C487" s="1" t="n">
        <v>6590.0</v>
      </c>
      <c r="D487" s="7" t="n">
        <f>HYPERLINK("https://www.somogyi.hu/product/midea-17451000008894-futo-egyseg-d50-15fg-bojlerhez-1500-w-magnezium-anoddal-zomancozott-futoszal-szilikon-gyuruvel-17451000008894-18703","https://www.somogyi.hu/product/midea-17451000008894-futo-egyseg-d50-15fg-bojlerhez-1500-w-magnezium-anoddal-zomancozott-futoszal-szilikon-gyuruvel-17451000008894-18703")</f>
        <v>0.0</v>
      </c>
      <c r="E487" s="7" t="n">
        <f>HYPERLINK("https://www.somogyi.hu/data/img/product_main_images/small/18703.jpg","https://www.somogyi.hu/data/img/product_main_images/small/18703.jpg")</f>
        <v>0.0</v>
      </c>
      <c r="F487" s="2" t="inlineStr">
        <is>
          <t>5999084967215</t>
        </is>
      </c>
      <c r="G487" s="4" t="inlineStr">
        <is>
          <t>Elgondolkodott már azon, hogy mi biztosítja a bojler hatékony és tartós működését? A MIDEA 17451000008894 fűtő egység ideális megoldás a bojler teljesítményének és élettartamának meghosszabbítására. 
Ez a komplett fűtőegység magában foglal minden szükséges alkatrészt, amelyek biztosítják a zavartalan működést és megóvják a D50-15FG bojlert a korrózió káros hatásaitól.
A 1500 W teljesítményű zománcozott fűtőszál kiemelkedő hőátadást biztosít, így a víz gyorsan és hatékonyan melegszik fel. A magnézium anód (mérete: d18 x 110 mm) fokozott védelmet nyújt a tartálynak a korrózió ellen, miközben hosszabb élettartamot garantál a bojler belső alkatrészeinek. Az egységhez tartozik egy szilikon tömítőgyűrű, amely biztosítja a szivárgásmentes és biztonságos működést.
Az egység talpának átmérője 90 mm, ami pontos illeszkedést tesz lehetővé a bojler modelljéhez. Emellett a hőfokszabályozó tartócső hossza 295 mm, ami lehetővé teszi a precíz hőmérséklet-szabályozást és az optimális vízhőmérséklet fenntartását. Ez a fűtőegység minden szükséges komponenst biztosít, hogy a bojler ne csak hatékonyan működjön, hanem tartós is maradjon, minimalizálva a karbantartási igényeket.
Ne habozzon! Válassza a MIDEA 17451000008894 fűtőegységet, és biztosítsa bojlerének a hosszú távú, zavartalan működést – rendeljen még ma!</t>
        </is>
      </c>
    </row>
    <row r="488">
      <c r="A488" s="3" t="inlineStr">
        <is>
          <t>12951000001121</t>
        </is>
      </c>
      <c r="B488" s="2" t="inlineStr">
        <is>
          <t>Midea 12951000001121 biztonsági szelep Midea D10-20VD1(O), Midea D10-20VD1(U) bojlerhez</t>
        </is>
      </c>
      <c r="C488" s="1" t="n">
        <v>2490.0</v>
      </c>
      <c r="D488" s="7" t="n">
        <f>HYPERLINK("https://www.somogyi.hu/product/midea-12951000001121-biztonsagi-szelep-midea-d10-20vd1-o-midea-d10-20vd1-u-bojlerhez-12951000001121-18702","https://www.somogyi.hu/product/midea-12951000001121-biztonsagi-szelep-midea-d10-20vd1-o-midea-d10-20vd1-u-bojlerhez-12951000001121-18702")</f>
        <v>0.0</v>
      </c>
      <c r="E488" s="7" t="n">
        <f>HYPERLINK("https://www.somogyi.hu/data/img/product_main_images/small/18702.jpg","https://www.somogyi.hu/data/img/product_main_images/small/18702.jpg")</f>
        <v>0.0</v>
      </c>
      <c r="F488" s="2" t="inlineStr">
        <is>
          <t>5999084967208</t>
        </is>
      </c>
      <c r="G488" s="4" t="inlineStr">
        <is>
          <t>Hogyan biztosíthatja bojlerének maximális védelmét a túlnyomás okozta problémákkal szemben? 
A Midea 12951000001121 biztonsági szelep kimondottan a Midea D10-20VD1(O) és Midea D10-20VD1(U) típusú bojlerekhez készült, garantálva a berendezés biztonságos és hosszú élettartamú működését. Ez a megbízható biztonsági elem hatékony védelmet nyújt a nyomásingadozások ellen, és megakadályozza a túlzott nyomás által okozott meghibásodásokat.
Hatékony védelem és kézi működtetési opció
Ez a biztonsági szelep akár 0,75 MPa (7,5 bar) nyomásig is biztonságosan működik, így megelőzi a túlzott nyomás okozta veszélyhelyzeteket. Különlegessége a kézi működtetési opció, amely biztonsági csavarral rögzített karral van ellátva. Ez a megoldás lehetővé teszi a szelep manuális működtetését, amikor szükséges, például karbantartási vagy ellenőrzési célból.
Egyszerű csatlakoztatás és megbízható kivitel
A szelep G 1/2"-es csővezetékkel kompatibilis, így könnyedén csatlakoztatható a megfelelő rendszerhez. A precíz kialakítás és a minőségi alapanyagok garantálják a hosszú távú, problémamentes működést. Ezáltal nemcsak a bojler élettartamát növeli meg, hanem a használat biztonságát is jelentősen fokozza.
Miért elengedhetetlen a biztonsági szelep használata?
A bojler nyomásának szabályozása létfontosságú a készülék optimális működése szempontjából. A Midea biztonsági szelepe automatikusan kiengedi a felesleges nyomást, amikor az eléri a megengedett maximumot, megakadályozva ezzel a bojler károsodását és az esetleges baleseteket. Ezenkívül a kézi működtetési lehetőség további ellenőrzési és karbantartási előnyöket kínál.
Miért válassza a Midea 12951000001121 biztonsági szelepet?
– Kifejezetten a Midea bojlerekhez tervezett, tökéletes kompatibilitás. 
– Magas nyomástartomány, akár 7,5 bar nyomásig biztonságos működés. 
– Kézi működtetési lehetőség a karbantartás megkönnyítésére. 
– Egyszerű csatlakoztathatóság és hosszú élettartam. 
– Nélkülözhetetlen biztonsági kiegészítő a bojler védelméhez.
Tegyen egy lépést a biztonságosabb otthonért, és válassza a Midea 12951000001121 biztonsági szelepet bojleréhez! Rendelje meg most, és élvezze a nyugodt, zavartalan használatot minden nap!</t>
        </is>
      </c>
    </row>
    <row r="489">
      <c r="A489" s="3" t="inlineStr">
        <is>
          <t>17451000011272</t>
        </is>
      </c>
      <c r="B489" s="2" t="inlineStr">
        <is>
          <t>Midea 17451000011272 termosztát Midea D100-15FG és D50-15FG valamint D80-15FG bojlerhez</t>
        </is>
      </c>
      <c r="C489" s="1" t="n">
        <v>2390.0</v>
      </c>
      <c r="D489" s="7" t="n">
        <f>HYPERLINK("https://www.somogyi.hu/product/midea-17451000011272-termosztat-midea-d100-15fg-es-d50-15fg-valamint-d80-15fg-bojlerhez-17451000011272-18691","https://www.somogyi.hu/product/midea-17451000011272-termosztat-midea-d100-15fg-es-d50-15fg-valamint-d80-15fg-bojlerhez-17451000011272-18691")</f>
        <v>0.0</v>
      </c>
      <c r="E489" s="7" t="n">
        <f>HYPERLINK("https://www.somogyi.hu/data/img/product_main_images/small/18691.jpg","https://www.somogyi.hu/data/img/product_main_images/small/18691.jpg")</f>
        <v>0.0</v>
      </c>
      <c r="F489" s="2" t="inlineStr">
        <is>
          <t>5999084967093</t>
        </is>
      </c>
      <c r="G489" s="4" t="inlineStr">
        <is>
          <t>Hogyan érhető el a bojler optimális teljesítménye és biztonságos működése egyszerre? 
A Midea 17451000011272 termosztát tökéletes megoldást kínál a Midea D100-15FG, D50-15FG és D80-15FG bojlerek hőmérséklet-szabályozására, garantálva a pontos hőfokbeállítást és a hatékony energiafelhasználást. Az eszköz megbízható mechanikus forgató kapcsolóval van ellátva, amely egyszerű és precíz kezelést tesz lehetővé.
Megbízható hőmérséklet-szabályozás és tartósság
A termosztát T 80°C-os hőmérsékleti határral rendelkezik, amely megfelelő biztonsági szintet nyújt a bojler működéséhez. A készülék AC250V/16A terhelhetősége révén nagyobb igénybevétel esetén is stabilan működik, így hosszú távon biztosítja a kívánt vízhőmérsékletet.
Pontos érzékelés és gyors reakcióidő
A termosztát 100 x 6,3 mm-es mérőszondával van felszerelve, amely rendkívül pontosan méri a víz hőmérsékletét a bojler belsejében. A 50 cm-es mérővezeték optimális hosszt biztosít a gyors és egyszerű telepítéshez, míg a 6,3-0,8 mm-es tűzősarus villamos csatlakozás szabványos kialakítása lehetővé teszi a biztonságos csatlakoztatást.
Egyszerű telepítés és kompakt kialakítás
A termosztát 35 x 43 x 24 mm-es készülékháza kompakt mérete ellenére masszív és tartós kialakítást kínál. A beépített rögzítőkeret garantálja a gyors és stabil rögzítést, megkönnyítve a termosztát beszerelését akár házilag is. A mechanikus forgató kapcsoló egyszerű és precíz beállítást tesz lehetővé, így a felhasználó mindig az aktuális igényekhez igazíthatja a vízhőmérsékletet.
Miért válassza a Midea 17451000011272 termosztátot?
– Garantáltan pontos hőmérséklet-szabályozás a bojler hatékonyságának növelése érdekében. 
– Kompakt és tartós kialakítás, amely megkönnyíti a beszerelést. 
– Magas terhelhetőség, amely biztosítja a stabil működést nagyobb igénybevétel mellett is. 
– Könnyen kezelhető mechanikus forgató kapcsoló a kényelmes használatért. 
– Ideális választás a Midea D100-15FG, D50-15FG és D80-15FG típusú bojlerekhez.
Ne hagyja, hogy egy pontatlan termosztát rontsa bojlerének teljesítményét! Válassza a Midea 17451000011272 termosztátot, és élvezze a stabil, biztonságos és energiatakarékos vízmelegítést! Rendelje meg most, és tegye még hatékonyabbá bojlerének működését!</t>
        </is>
      </c>
    </row>
    <row r="490">
      <c r="A490" s="3" t="inlineStr">
        <is>
          <t>D100-20ED6</t>
        </is>
      </c>
      <c r="B490" s="2" t="inlineStr">
        <is>
          <t>MIDEA D100-20ED6 SMART elektromos vízmelegítő, bojler, 2000 W, 93 liter, applikációval vezérelhető, 2 víztartály, LED kijelző</t>
        </is>
      </c>
      <c r="C490" s="1" t="n">
        <v>129990.0</v>
      </c>
      <c r="D490" s="7" t="n">
        <f>HYPERLINK("https://www.somogyi.hu/product/midea-d100-20ed6-smart-elektromos-vizmelegito-bojler-2000-w-93-liter-applikacioval-vezerelheto-2-viztartaly-led-kijelzo-d100-20ed6-18219","https://www.somogyi.hu/product/midea-d100-20ed6-smart-elektromos-vizmelegito-bojler-2000-w-93-liter-applikacioval-vezerelheto-2-viztartaly-led-kijelzo-d100-20ed6-18219")</f>
        <v>0.0</v>
      </c>
      <c r="E490" s="7" t="n">
        <f>HYPERLINK("https://www.somogyi.hu/data/img/product_main_images/small/18219.jpg","https://www.somogyi.hu/data/img/product_main_images/small/18219.jpg")</f>
        <v>0.0</v>
      </c>
      <c r="F490" s="2" t="inlineStr">
        <is>
          <t>6939962586786</t>
        </is>
      </c>
      <c r="G490" s="4" t="inlineStr">
        <is>
          <t>Ugye kényelmes lenne, ha otthona melegvíz-ellátását akár távolról is szabályozhatná? A MIDEA D100-20ED6 smart elektromos vízmelegítő, nem csak ezt a modern kényelmet kínálja, hanem energiatakarékos működésével és intelligens funkcióival is kiemelkedik. 
2000 wattos teljesítményével és 93 literes űrtartalmával ideális választás lehet családi otthonok számára.
A Smart Home applikáción keresztül távolról is vezérelheti, így mindig ellenőrzése alatt tarthatja a vízhőmérsékletet és a fogyasztást. 
Az IPX4 vízállósági fokozattal rendelkező készülék függőlegesen és vízszintesen is falra szerelhető, az érintőgombos, LED-kijelzős kezelőfelület vízszintes szerelésnél elfordítható, így mindig tökéletes rálátást biztosít a beállításokra. 
Dupla zománcozott víztartályai és választható 1 vagy 2 tartályos működtetése révén a készülék rendkívül rugalmasan használható. 
A zománcozott réz fűtőszálak hosszú élettartamot, az elektronikus termosztát pedig pontos hőmérséklet-szabályozást garantál. 
A hőmérséklet-tartomány 30-75°C között állítható.  
A készülék mérete 569 x 1087 x 295 mm, energiahatékonysági osztálya pedig B. 
A biztonságra is gondoltunk: a vízmelegítő földelt csatlakozódugóval és hosszú, 115 cm-es tápkábellel rendelkezik, a magnézium anód pedig extra védelmet nyújt a korrózióval szemben. 
Ne hagyja ki a lehetőséget, hogy a MIDEA D100-20ED6 smart elektromos bojler segítségével új szintre emelje otthona kényelmét és energiagazdálkodását!</t>
        </is>
      </c>
    </row>
    <row r="491">
      <c r="A491" s="3" t="inlineStr">
        <is>
          <t>17151000007911</t>
        </is>
      </c>
      <c r="B491" s="2" t="inlineStr">
        <is>
          <t>Midea 17151000007911 kijelző panel Midea D100-20ED6 és Midea D80-20ED6 bojlerhez</t>
        </is>
      </c>
      <c r="C491" s="1" t="n">
        <v>11290.0</v>
      </c>
      <c r="D491" s="7" t="n">
        <f>HYPERLINK("https://www.somogyi.hu/product/midea-17151000007911-kijelzo-panel-midea-d100-20ed6-es-midea-d80-20ed6-bojlerhez-17151000007911-18695","https://www.somogyi.hu/product/midea-17151000007911-kijelzo-panel-midea-d100-20ed6-es-midea-d80-20ed6-bojlerhez-17151000007911-18695")</f>
        <v>0.0</v>
      </c>
      <c r="E491" s="7" t="n">
        <f>HYPERLINK("https://www.somogyi.hu/data/img/product_main_images/small/18695.jpg","https://www.somogyi.hu/data/img/product_main_images/small/18695.jpg")</f>
        <v>0.0</v>
      </c>
      <c r="F491" s="2" t="inlineStr">
        <is>
          <t>5999084967130</t>
        </is>
      </c>
      <c r="G491" s="4" t="inlineStr">
        <is>
          <t>Hogyan biztosíthatja bojlerének modern vezérlését és kényelmes felhasználói élményét? 
A Midea 17151000007911 kijelző panel kifejezetten a Midea D100-20ED6 és Midea D80-20ED6 bojlerekhez készült, hogy azok működését még egyszerűbbé és felhasználóbarátabbá tegye. Ez az innovatív LED szegmenses kijelző panel nemcsak az aktuális adatokat jeleníti meg pontosan, hanem a WiFi-képességének köszönhetően távoli vezérlést is lehetővé tesz, így otthonának komfortját a legmagasabb szintre emeli.
Letisztult kijelző és precíz vezérlés
A kijelző panel 34x60 mm-es LED szegmenses kijelzője jól olvasható formában jeleníti meg a bojler működéséhez szükséges információkat, például a vízhőmérsékletet és az aktuális beállításokat. A panelen található kapacitív érintőgombok érzékeny és gyors reagálást biztosítanak, így a bojler vezérlése egyszerű és gördülékeny.
WiFi-képesség a távoli irányításért
A panel WiFi-képességgel rendelkezik, ami lehetővé teszi a bojler távoli vezérlését egy kompatibilis alkalmazás segítségével. Így bárhol is tartózkodik, könnyedén módosíthatja a beállításokat, ellenőrizheti a bojler működési állapotát, és akár az energiafogyasztást is optimalizálhatja, növelve ezzel otthona energiahatékonyságát.
Kompakt kialakítás és egyszerű telepítés
A kijelző panel kompakt mérete (34x60 mm) és modern kialakítása lehetővé teszi, hogy tökéletesen illeszkedjen a Midea D100-20ED6 és D80-20ED6 bojlerekhez. A telepítés gyorsan és egyszerűen elvégezhető, biztosítva a zökkenőmentes cserét vagy frissítést. Ezáltal nemcsak funkcionalitásban, hanem esztétikában is hozzájárul a bojler korszerű megjelenéséhez.
Miért válassza a Midea 17151000007911 kijelző panelt?
– Precíz LED kijelző, amely jól olvasható adatokat biztosít. 
– Érintőgombos vezérlés a kényelmes és gyors működtetésért. 
– WiFi-kapcsolat a távoli irányítás lehetőségével, növelve a komfortot. 
– Kifejezetten a Midea D100-20ED6 és D80-20ED6 modellekhez tervezett, így tökéletesen kompatibilis. 
– Egyszerű telepítés, kompakt méret és modern megjelenés.
Növelje bojlerének hatékonyságát és kényelmét a Midea 17151000007911 kijelző panellel! Rendelje meg most, és élvezze az intelligens otthon nyújtotta előnyöket minden nap!</t>
        </is>
      </c>
    </row>
    <row r="492">
      <c r="A492" s="3" t="inlineStr">
        <is>
          <t>D80-20ED6</t>
        </is>
      </c>
      <c r="B492" s="2" t="inlineStr">
        <is>
          <t>MIDEA D80-20ED6 SMART elektromos vízmelegítő, bojler, 2000 W, 74 liter, applikációval vezérelhető, 2 víztartály, LED kijelző</t>
        </is>
      </c>
      <c r="C492" s="1" t="n">
        <v>116990.0</v>
      </c>
      <c r="D492" s="7" t="n">
        <f>HYPERLINK("https://www.somogyi.hu/product/midea-d80-20ed6-smart-elektromos-vizmelegito-bojler-2000-w-74-liter-applikacioval-vezerelheto-2-viztartaly-led-kijelzo-d80-20ed6-18218","https://www.somogyi.hu/product/midea-d80-20ed6-smart-elektromos-vizmelegito-bojler-2000-w-74-liter-applikacioval-vezerelheto-2-viztartaly-led-kijelzo-d80-20ed6-18218")</f>
        <v>0.0</v>
      </c>
      <c r="E492" s="7" t="n">
        <f>HYPERLINK("https://www.somogyi.hu/data/img/product_main_images/small/18218.jpg","https://www.somogyi.hu/data/img/product_main_images/small/18218.jpg")</f>
        <v>0.0</v>
      </c>
      <c r="F492" s="2" t="inlineStr">
        <is>
          <t>6939962586779</t>
        </is>
      </c>
      <c r="G492" s="4" t="inlineStr">
        <is>
          <t>Ugye kényelmes lenne, ha otthona melegvíz-ellátását akár távolról is szabályozhatná? A MIDEA D80-20ED6 smart elektromos vízmelegítő, nem csak ezt a modern kényelmet kínálja, hanem energiatakarékos működésével és intelligens funkcióival is kiemelkedik. 
2000 wattos teljesítményével és 74 literes űrtartalmával ideális választás lehet családi otthonok számára. 
A Smart Home applikáción keresztül távolról is vezérelheti, így mindig ellenőrzése alatt tarthatja a vízhőmérsékletet és a fogyasztást. 
Az IPX4 vízállósági fokozattal rendelkező készülék függőlegesen és vízszintesen is falra szerelhető, az érintőgombos, LED-kijelzős kezelőfelület vízszintes szerelésnél elfordítható, így mindig tökéletes rálátást biztosít a beállításokra. 
Dupla zománcozott víztartályai és választható 1 vagy 2 tartályos működtetése révén a készülék rendkívül rugalmasan használható. 
A zománcozott réz fűtőszálak hosszú élettartamot, az elektronikus termosztát pedig pontos hőmérséklet-szabályozást garantál. 
A hőmérséklet-tartomány 30-75°C között állítható. 
A készülék mérete 569 x 902 x 295 mm, energiahatékonysági osztálya pedig B. 
A biztonságra is gondoltunk: a vízmelegítő földelt csatlakozódugóval és hosszú, 115 cm-es tápkábellel rendelkezik, a magnézium anód pedig extra védelmet nyújt a korrózióval szemben. 
Ne hagyja ki a lehetőséget, hogy a MIDEA D80-20ED6 smart elektromos bojler segítségével új szintre emelje otthona kényelmét és energiagazdálkodását!</t>
        </is>
      </c>
    </row>
    <row r="493">
      <c r="A493" s="3" t="inlineStr">
        <is>
          <t>17451000000202</t>
        </is>
      </c>
      <c r="B493" s="2" t="inlineStr">
        <is>
          <t>MIDEA 17451000000202 magnézium anód D100-15FG, D80-15FG bojlerhez</t>
        </is>
      </c>
      <c r="C493" s="1" t="n">
        <v>1990.0</v>
      </c>
      <c r="D493" s="7" t="n">
        <f>HYPERLINK("https://www.somogyi.hu/product/midea-17451000000202-magnezium-anod-d100-15fg-d80-15fg-bojlerhez-17451000000202-18689","https://www.somogyi.hu/product/midea-17451000000202-magnezium-anod-d100-15fg-d80-15fg-bojlerhez-17451000000202-18689")</f>
        <v>0.0</v>
      </c>
      <c r="E493" s="7" t="n">
        <f>HYPERLINK("https://www.somogyi.hu/data/img/product_main_images/small/18689.jpg","https://www.somogyi.hu/data/img/product_main_images/small/18689.jpg")</f>
        <v>0.0</v>
      </c>
      <c r="F493" s="2" t="inlineStr">
        <is>
          <t>5999084967079</t>
        </is>
      </c>
      <c r="G493" s="4" t="inlineStr">
        <is>
          <t>Aggódik a bojler élettartama miatt, és szeretné megvédeni a korrózió káros hatásaitól? A MIDEA 17451000000202 magnézium anód ideális választás az Ön számára, hogy meghosszabbítsa berendezése élettartamát és biztosítsa a zavartalan működést. 
Az anód folyamatos elhasználódása biztosítja, hogy a bojler belső tartálya és fűtőszála védve legyen a korróziótól, így hosszabb időn keresztül élvezheti a bojler hatékony működését. Ez a magnézium anód kiválóan alkalmazható a MIDEA D100-15FG és D80-15FG bojlerekhez. A pontos illeszkedés érdekében az anód mérete d22 x 300 mm, amely hatékony védelmet nyújt a bojler teljes tartályára. Az M6 x 26 mm-es menetes szár gyors és biztonságos rögzítést tesz lehetővé, megkönnyítve ezzel a telepítést és a cserét.
z anód rendszeres cseréje nemcsak a bojler élettartamát hosszabbítja meg, de segít fenntartani annak optimális teljesítményét is. A magnézium anód használatával elkerülheti a korrózió káros hatásait, amelyek csökkenthetik a bojler hatékonyságát.
Válassza a MIDEA 17451000000202 magnézium anódot, és biztosítsa bojlerének hosszú távú védelmét – rendeljen most, és élvezze a biztonságos működést éveken át!</t>
        </is>
      </c>
    </row>
    <row r="494">
      <c r="A494" s="3" t="inlineStr">
        <is>
          <t>17451000010794</t>
        </is>
      </c>
      <c r="B494" s="2" t="inlineStr">
        <is>
          <t>MIDEA 17451000010794 fűtő egység D100-20ED6, D80-20ED6  bojlerekhez, 2000 W, magnézium anóddal, zománcozott fűtőszállal, szilikon tömítőgyűrűvel</t>
        </is>
      </c>
      <c r="C494" s="1" t="n">
        <v>8190.0</v>
      </c>
      <c r="D494" s="7" t="n">
        <f>HYPERLINK("https://www.somogyi.hu/product/midea-17451000010794-futo-egyseg-d100-20ed6-d80-20ed6-bojlerekhez-2000-w-magnezium-anoddal-zomancozott-futoszallal-szilikon-tomitogyuruvel-17451000010794-18694","https://www.somogyi.hu/product/midea-17451000010794-futo-egyseg-d100-20ed6-d80-20ed6-bojlerekhez-2000-w-magnezium-anoddal-zomancozott-futoszallal-szilikon-tomitogyuruvel-17451000010794-18694")</f>
        <v>0.0</v>
      </c>
      <c r="E494" s="7" t="n">
        <f>HYPERLINK("https://www.somogyi.hu/data/img/product_main_images/small/18694.jpg","https://www.somogyi.hu/data/img/product_main_images/small/18694.jpg")</f>
        <v>0.0</v>
      </c>
      <c r="F494" s="2" t="inlineStr">
        <is>
          <t>5999084967123</t>
        </is>
      </c>
      <c r="G494" s="4" t="inlineStr">
        <is>
          <t>Elgondolkodott már azon, hogy miért nem melegíti fel elég gyorsan a vizet a MIDEA bojlere, vagy mi okozhatja annak lassuló teljesítményét? A MIDEA 17451000010794 fűtő egység a megoldás ezekre a problémákra! 
Ez a kiváló minőségű fűtő egység kifejezetten a MIDEA D100-20ED6 és D80-20ED6 bojlerekhez lett kifejlesztve, és minden szükséges alkatrészt tartalmaz a zavartalan, megbízható működéshez. A fűtőegység központi eleme a 2000 W teljesítményű zománcozott fűtőszál, amely gyors és egyenletes vízmelegítést biztosít, így a bojler optimális teljesítménnyel működhet. Az egységhez tartozó magnézium anód (mérete: d22 x 230 mm) hatékonyan védi a bojler belső tartályát a korróziótól, hosszabb élettartamot garantálva ezzel. A magnézium anód cseréje jelentősen meghosszabbíthatja a bojler életciklusát, és hozzájárul a tartály állapotának megóvásához.
Az egység tartalmaz egy szilikon tömítőgyűrűt, amely megbízható szigetelést nyújt a szivárgás elkerülése érdekében, biztosítva ezzel a hibamentes működést. A 72 mm átmérőjű talp pontos illeszkedést garantál a bojler modelljéhez, míg a hőfokszabályozó tartócső hossza 295 mm, amely precíz hőmérséklet-szabályozást tesz lehetővé, hogy mindig a kívánt hőfokon használhassa a meleg vizet. Ez a komplett fűtőegység minden szükséges alkatrészt tartalmaz, hogy bojlere tökéletesen működjön, csökkentve ezzel a karbantartási igényt és növelve a hosszú távú megbízhatóságot. A MIDEA fűtőegység kiváló választás mindenki számára, aki hatékony és tartós megoldást keres bojleréhez.
Ne habozzon, rendeljen most, és biztosítsa bojlerének hosszú távú teljesítményét és megbízhatóságát a MIDEA 17451000010794 fűtő egységgel!</t>
        </is>
      </c>
    </row>
    <row r="495">
      <c r="A495" s="3" t="inlineStr">
        <is>
          <t>D10-20VD1(O)</t>
        </is>
      </c>
      <c r="B495" s="2" t="inlineStr">
        <is>
          <t>MIDEA D10-20VD1(O) elektromos vízmelegítő, bojler, 2000 W, 10 liter, zománcozott víztartály és fűtőszál, mechanikus vezérlés, konyhapult fölé szerelhető</t>
        </is>
      </c>
      <c r="C495" s="1" t="n">
        <v>36390.0</v>
      </c>
      <c r="D495" s="7" t="n">
        <f>HYPERLINK("https://www.somogyi.hu/product/midea-d10-20vd1-o-elektromos-vizmelegito-bojler-2000-w-10-liter-zomancozott-viztartaly-es-futoszal-mechanikus-vezerles-konyhapult-fole-szerelheto-d10-20vd1-o-18209","https://www.somogyi.hu/product/midea-d10-20vd1-o-elektromos-vizmelegito-bojler-2000-w-10-liter-zomancozott-viztartaly-es-futoszal-mechanikus-vezerles-konyhapult-fole-szerelheto-d10-20vd1-o-18209")</f>
        <v>0.0</v>
      </c>
      <c r="E495" s="7" t="n">
        <f>HYPERLINK("https://www.somogyi.hu/data/img/product_main_images/small/18209.jpg","https://www.somogyi.hu/data/img/product_main_images/small/18209.jpg")</f>
        <v>0.0</v>
      </c>
      <c r="F495" s="2" t="inlineStr">
        <is>
          <t>6939962591773</t>
        </is>
      </c>
      <c r="G495" s="4" t="inlineStr">
        <is>
          <t>Szembesült már azzal a problémával, hogy túl sok időt kell várnia a meleg vízre, különösen a konyhában? A Midea D10-20VD1(O) elektromos vízmelegítő megoldást nyújt erre a problémára, és tökéletes választás lehet bármely modern háztartás számára, különös tekintettel kompakt méretére és 10 literes űrtartalmára. 
Ezt a vízmelegítőt közvetlenül a konyhapult fölé szerelheti, így helyet takaríthat meg, miközben gyorsan biztosíthat melegvizet. 
Az IPX4 vízállósági osztályú készülék függőlegesen szerelhető a falra, így csekély helyet foglal el. 
A tekerőgombos mechanikus vezérlés könnyű kezelhetőséget garantál, míg a zománcozott víztartály és fűtőszál hosszú távú ellenálló képességet biztosít a rozsda és a lerakódások ellen. 
A kapilláris termosztáttal precízen állíthatja be a hőmérsékletet a 30-75°C tartományban. 
A földelt csatlakozódugónak és a 100 cm hosszú tápkábelnek köszönhetően a telepítés egyszerű és biztonságos. 
A magnézium anód, melynek méretei ∅18x110 mm, extra védelmet nyújt a korrózió ellen. 
A termék méretei 324x324x300 mm, energiahatékonysági osztálya pedig A, így a készülék nemcsak helytakarékos, de energiatakarékos is. 
Ne hagyja figyelmen kívül a konyhai kényelem új szintjét! A Midea D10-20VD1(O) elektromos vízmelegítővel azonnal hozzájuthat a meleg vízhez, miközben energiát és helyet is megtakarít. Tegye hatékonyabbá és kényelmesebbé otthonát még ma!</t>
        </is>
      </c>
    </row>
    <row r="496">
      <c r="A496" s="3" t="inlineStr">
        <is>
          <t>17451000000197</t>
        </is>
      </c>
      <c r="B496" s="2" t="inlineStr">
        <is>
          <t>MIDEA 17451000000197 magnézium anód D10-20VD1(O), D10-20VD1(U), D50-15FG bojlerhez</t>
        </is>
      </c>
      <c r="C496" s="1" t="n">
        <v>689.0</v>
      </c>
      <c r="D496" s="7" t="n">
        <f>HYPERLINK("https://www.somogyi.hu/product/midea-17451000000197-magnezium-anod-d10-20vd1-o-d10-20vd1-u-d50-15fg-bojlerhez-17451000000197-18698","https://www.somogyi.hu/product/midea-17451000000197-magnezium-anod-d10-20vd1-o-d10-20vd1-u-d50-15fg-bojlerhez-17451000000197-18698")</f>
        <v>0.0</v>
      </c>
      <c r="E496" s="7" t="n">
        <f>HYPERLINK("https://www.somogyi.hu/data/img/product_main_images/small/18698.jpg","https://www.somogyi.hu/data/img/product_main_images/small/18698.jpg")</f>
        <v>0.0</v>
      </c>
      <c r="F496" s="2" t="inlineStr">
        <is>
          <t>5999084967161</t>
        </is>
      </c>
      <c r="G496" s="4" t="inlineStr">
        <is>
          <t>Gondolt már arra, hogy milyen hatással van a korrózió a bojler élettartamára? A MIDEA 17451000000197 magnézium anód tökéletes megoldást nyújt a korrózió elkerülésére, hiszen megóvja a bojler tartályát és fűtőszálát a káros hatásoktól. 
Az anód folyamatosan elhasználódik, így gondoskodva a tartály belső felületének védelméről, amely biztosítja a bojler hosszabb élettartamát és hatékony működését.
Ez a prémium minőségű magnézium anód speciálisan a MIDEA D10-20VD1(O), D10-20VD1(U) és D50-15FG modellekhez lett tervezve. Mérete d18 x 110 mm, ami garantálja a pontos illeszkedést és hatékony védelmet. Az egyszerű rögzítés érdekében az anód M6 x 16 mm-es menetes szárral rendelkezik, amely gyors és biztonságos felszerelést tesz lehetővé. Az anód rendszeres cseréje biztosítja, hogy bojlere hosszú távon is megőrizze hatékonyságát és védett legyen a korrózió káros hatásaitól. 
Ne hagyja, hogy a korrózió tönkretegye berendezését – válassza a MIDEA magnézium anódot, és biztosítsa bojlerének hosszú élettartamát!</t>
        </is>
      </c>
    </row>
    <row r="497">
      <c r="A497" s="3" t="inlineStr">
        <is>
          <t>17451000A05863</t>
        </is>
      </c>
      <c r="B497" s="2" t="inlineStr">
        <is>
          <t>Midea 17451000A05863 hőkorlátozó Midea D100-15FG és D80-15FG bojlerhez</t>
        </is>
      </c>
      <c r="C497" s="1" t="n">
        <v>2590.0</v>
      </c>
      <c r="D497" s="7" t="n">
        <f>HYPERLINK("https://www.somogyi.hu/product/midea-17451000a05863-hokorlatozo-midea-d100-15fg-es-d80-15fg-bojlerhez-17451000a05863-18692","https://www.somogyi.hu/product/midea-17451000a05863-hokorlatozo-midea-d100-15fg-es-d80-15fg-bojlerhez-17451000a05863-18692")</f>
        <v>0.0</v>
      </c>
      <c r="E497" s="7" t="n">
        <f>HYPERLINK("https://www.somogyi.hu/data/img/product_main_images/small/18692.jpg","https://www.somogyi.hu/data/img/product_main_images/small/18692.jpg")</f>
        <v>0.0</v>
      </c>
      <c r="F497" s="2" t="inlineStr">
        <is>
          <t>5999084967109</t>
        </is>
      </c>
      <c r="G497" s="4" t="inlineStr">
        <is>
          <t>Hogyan biztosítható a bojler maximális biztonsága és megbízható működése minden körülmények között? 
A Midea 17451000A05863 hőkorlátozó kimondottan a Midea D100-15FG és D80-15FG bojler modellekhez készült, garantálva a pontos hőmérséklet-szabályozást és a készülék biztonságát. Ez a hőkorlátozó kifejezetten úgy lett kialakítva, hogy hosszú távon biztosítsa a bojler zavartalan működését, megakadályozva a túlmelegedést.
Kiváló teljesítmény és biztonság
A hőkorlátozó T 100°C maximális hőmérséklethatárral rendelkezik, amely megbízható védelmet nyújt a túlzott hőmérséklet-emelkedés ellen. A 250V/20A terhelhetőség biztosítja, hogy a hőkorlátozó nagyobb energiaigényű rendszerekben is stabilan működjön, így elkerülhetővé válik a készülék meghibásodása.
Hatékony érzékelés és gyors reagálás
A hőkorlátozó 55 x 6 mm-es mérőszondája precíz mérést végez, amely lehetővé teszi a gyors reagálást a hőmérsékleti változásokra. A szonda hosszúsága és átmérője ideális a bojler belső hőmérsékletének folyamatos ellenőrzéséhez. Az 60 cm-es mérővezeték elegendő hosszúságot kínál a különböző bojler kialakításokhoz, biztosítva a könnyű telepítést.
Egyszerű telepítés és szabványos csatlakozók
A kompakt 27 x 46,5 x 43 mm-es készülékház helytakarékos megoldást nyújt, miközben a beépített rögzítőkeret gyors és stabil rögzítést tesz lehetővé. A 6,3-0,8 mm-es tűzősaru csatlakozók révén a készülék egyszerűen és biztonságosan csatlakoztatható a rendszerhez. A hőkorlátozó két különálló kapcsolóval rendelkezik, amelyek a fázis és nulla vezeték egyidejű bontását végzik, növelve a bojler biztonságát.
Miért válassza a Midea 17451000A05863 hőkorlátozót?
– Pontos hőmérséklet-szabályozás a bojler biztonságos működése érdekében. 
– Kompakt kialakítás és egyszerű telepíthetőség. 
– Kiemelkedő terhelhetőség, amely garantálja a hosszú távú, stabil működést. 
– Szabványos csatlakozók a gyors és biztonságos csatlakoztatásért. 
– Kifejezetten a Midea D100-15FG és D80-15FG bojlerekhez tervezett, tökéletes kompatibilitással.
Válassza a Midea 17451000A05863 hőkorlátozót, ha fontos Önnek bojlerének biztonságos és hosszú távú működése! Rendelje meg még ma, és biztosítsa bojlerének zavartalan működését minden körülmények között!</t>
        </is>
      </c>
    </row>
    <row r="498">
      <c r="A498" s="3" t="inlineStr">
        <is>
          <t>17451000011613</t>
        </is>
      </c>
      <c r="B498" s="2" t="inlineStr">
        <is>
          <t>MIDEA 17451000011613 hőkorlátozó D50-15FG bojlerhez</t>
        </is>
      </c>
      <c r="C498" s="1" t="n">
        <v>2490.0</v>
      </c>
      <c r="D498" s="7" t="n">
        <f>HYPERLINK("https://www.somogyi.hu/product/midea-17451000011613-hokorlatozo-d50-15fg-bojlerhez-17451000011613-18704","https://www.somogyi.hu/product/midea-17451000011613-hokorlatozo-d50-15fg-bojlerhez-17451000011613-18704")</f>
        <v>0.0</v>
      </c>
      <c r="E498" s="7" t="n">
        <f>HYPERLINK("https://www.somogyi.hu/data/img/product_main_images/small/18704.jpg","https://www.somogyi.hu/data/img/product_main_images/small/18704.jpg")</f>
        <v>0.0</v>
      </c>
      <c r="F498" s="2" t="inlineStr">
        <is>
          <t>5999084967222</t>
        </is>
      </c>
      <c r="G498" s="4" t="inlineStr">
        <is>
          <t>Biztosítaná bojlerének maximális biztonságát és megbízható működését egy kiváló minőségű hőkorlátozóval? 
A Midea 17451000011613 hőkorlátozó kimondottan a Midea D50-15FG bojlerhez készült, garantálva a pontos hőfokszabályozást és a készülék biztonságos használatát. Ez a hőkorlátozó hatékonyan védi a bojlert a túlmelegedés okozta károsodásoktól, miközben hosszú élettartamot biztosít.
Kiemelkedő teljesítmény és precizitás
A hőkorlátozó T 100°C-os maximális hőmérsékleti határral rendelkezik, amely a bojler optimális működését biztosítja, megakadályozva a túlmelegedést. Az AC250V/16A terhelhetőség lehetővé teszi a stabil működést nagyobb igénybevétel esetén is, ezzel növelve a bojler élettartamát.
Kompakt és könnyen telepíthető kialakítás
A készülék 27 x 46,5 x 43 mm-es méretének köszönhetően helytakarékos megoldást kínál, így bármilyen bojler kialakításhoz könnyedén illeszkedik. A 45 cm-es mérővezeték elegendő hosszúságot biztosít a gyors és egyszerű telepítéshez, miközben a 6,3-0,8 mm-es tűzősarus csatlakozók szabványos kialakítása gondoskodik a biztonságos és stabil csatlakoztatásról.
Precíz mérés és hatékony védelem
A hőkorlátozó 55 x 6 mm-es mérőszondája pontos mérést tesz lehetővé, amely gyors reakciót biztosít a hőmérséklet változásaira. A készülék két különálló kapcsolóval rendelkezik, amelyek a fázis és nulla vezetékek egyidejű bontásával növelik a bojler biztonságát, megakadályozva a túlmelegedésből eredő baleseteket vagy károsodást.
Miért érdemes a Midea 17451000011613 hőkorlátozót választania?
– Megbízható védelem a túlmelegedés ellen, hosszú élettartammal. 
– Kompakt méretének köszönhetően könnyen telepíthető és helytakarékos megoldás. 
– Precíz hőmérséklet-szabályozás, amely biztosítja a bojler zavartalan működését. 
– Szabványos csatlakozókkal a gyors és biztonságos csatlakoztatás érdekében. 
– Kifejezetten a Midea D50-15FG bojlerrel való használatra tervezve, tökéletes kompatibilitással.
Ne hagyja, hogy egy elavult hőkorlátozó csökkentse bojlerének hatékonyságát vagy veszélyeztesse otthona biztonságát! Válassza a Midea 17451000011613 hőkorlátozót, és élvezze a biztonságos, megbízható vízmelegítést minden nap! Rendelje meg még ma, hogy hosszú távon gondoskodjon bojlerének optimális működéséről!</t>
        </is>
      </c>
    </row>
    <row r="499">
      <c r="A499" s="3" t="inlineStr">
        <is>
          <t>17451000009734</t>
        </is>
      </c>
      <c r="B499" s="2" t="inlineStr">
        <is>
          <t>MIDEA 17451000009734 termosztát Midea D10-20VD1(O) és D10-20VD1(U) bojlerhez</t>
        </is>
      </c>
      <c r="C499" s="1" t="n">
        <v>2290.0</v>
      </c>
      <c r="D499" s="7" t="n">
        <f>HYPERLINK("https://www.somogyi.hu/product/midea-17451000009734-termosztat-midea-d10-20vd1-o-es-d10-20vd1-u-bojlerhez-17451000009734-18701","https://www.somogyi.hu/product/midea-17451000009734-termosztat-midea-d10-20vd1-o-es-d10-20vd1-u-bojlerhez-17451000009734-18701")</f>
        <v>0.0</v>
      </c>
      <c r="E499" s="7" t="n">
        <f>HYPERLINK("https://www.somogyi.hu/data/img/product_main_images/small/18701.jpg","https://www.somogyi.hu/data/img/product_main_images/small/18701.jpg")</f>
        <v>0.0</v>
      </c>
      <c r="F499" s="2" t="inlineStr">
        <is>
          <t>5999084967192</t>
        </is>
      </c>
      <c r="G499" s="4" t="inlineStr">
        <is>
          <t>Hogyan szabályozhatja bojlerének hőmérsékletét precízen és biztonságosan? 
A Midea 17451000009734 termosztát a Midea D10-20VD1(O) és D10-20VD1(U) bojlerek számára tervezett, megbízható és pontos hőmérséklet-szabályozási megoldás. Mechanikus forgató kapcsolójának köszönhetően könnyedén beállítható a kívánt hőmérséklet, miközben hatékonyan védi a készüléket a túlmelegedéstől. Ez a termosztát nemcsak a kényelmes használatot biztosítja, hanem növeli a bojler hatékonyságát és élettartamát is.
Kiemelkedő pontosság és egyszerű kezelhetőség
A termosztát T 75°C-os működési hőmérsékleti határral rendelkezik, amely megbízható hőmérséklet-szabályozást tesz lehetővé. A készülék mechanikus forgató kapcsolója lehetővé teszi a hőmérséklet egyszerű és gyors beállítását, így a felhasználó könnyedén optimalizálhatja a bojler működését az aktuális igényeknek megfelelően.
Precíz mérés és biztonságos működés
A termosztát 100 x 6 mm-es mérőszondája pontosan érzékeli a bojler belső hőmérsékletét, ezáltal biztosítva a pontos szabályozást. A 50 cm-es mérővezeték elegendő hosszúságot nyújt a kényelmes telepítéshez, míg a 6,3-0,8 mm-es tűzősarus villamos csatlakozás szabványos kialakítása egyszerű csatlakoztatást biztosít.
Kompakt és strapabíró kialakítás
A 35 x 43 x 24 mm-es készülékház kompakt mérete révén könnyen beépíthető a bojler rendszerébe. A termosztát rögzítőkerettel szerelve érkezik, ami megkönnyíti a stabil és biztonságos rögzítést, minimalizálva a meghibásodás kockázatát.
Miért válassza a Midea 17451000009734 termosztátot?
– Precíz hőmérséklet-szabályozás a hatékony bojlerhasználatért. 
– Egyszerűen kezelhető mechanikus forgató kapcsolóval felszerelt. 
– Strapabíró és kompakt kialakítás a hosszú élettartam érdekében. 
– Gyors és biztonságos telepítés a szabványos csatlakozóknak és rögzítőkeretnek köszönhetően. 
– Ideális megoldás a Midea D10-20VD1(O) és D10-20VD1(U) bojler modellekhez.
Biztosítsa bojlerének hosszú távú, megbízható működését a Midea 17451000009734 termosztáttal! Rendelje meg most, és élvezze a tökéletesen szabályozott, energiatakarékos vízmelegítést minden nap!</t>
        </is>
      </c>
    </row>
    <row r="500">
      <c r="A500" s="3" t="inlineStr">
        <is>
          <t>17151000006476</t>
        </is>
      </c>
      <c r="B500" s="2" t="inlineStr">
        <is>
          <t>Midea 17151000006476 tápegység Midea D100-20ED6 és D80-20ED6 bojlerhez</t>
        </is>
      </c>
      <c r="C500" s="1" t="n">
        <v>5090.0</v>
      </c>
      <c r="D500" s="7" t="n">
        <f>HYPERLINK("https://www.somogyi.hu/product/midea-17151000006476-tapegyseg-midea-d100-20ed6-es-d80-20ed6-bojlerhez-17151000006476-18696","https://www.somogyi.hu/product/midea-17151000006476-tapegyseg-midea-d100-20ed6-es-d80-20ed6-bojlerhez-17151000006476-18696")</f>
        <v>0.0</v>
      </c>
      <c r="E500" s="7" t="n">
        <f>HYPERLINK("https://www.somogyi.hu/data/img/product_main_images/small/18696.jpg","https://www.somogyi.hu/data/img/product_main_images/small/18696.jpg")</f>
        <v>0.0</v>
      </c>
      <c r="F500" s="2" t="inlineStr">
        <is>
          <t>5999084967147</t>
        </is>
      </c>
      <c r="G500" s="4" t="inlineStr">
        <is>
          <t>Hogyan biztosíthatja bojlerének megbízható és hatékony működését hosszú távon? 
A Midea 17151000006476 tápegység kifejezetten a Midea D100-20ED6 és D80-20ED6 típusú bojlerekhez készült, hogy stabil és biztonságos áramellátást nyújtson. Ez a kapcsolóüzemű tápegység optimális teljesítményt garantál, miközben hozzájárul a bojler energiahatékony működéséhez és élettartamának meghosszabbításához.
Stabil áramellátás és megbízható működés
A kapcsolóüzemű tápegység egyik legnagyobb előnye a folyamatosan stabil áramellátás biztosítása. Ez nemcsak a bojler zavartalan működéséhez elengedhetetlen, hanem védi is a készüléket a feszültségingadozások okozta károsodástól. A speciálisan tervezett tápegység garantálja, hogy a bojler minden funkciója – a vízmelegítéstől kezdve a különféle elektronikus vezérlésekig – tökéletesen működjön.
Kompatibilitás és egyszerű csatlakoztatás
Ez a tápegység tökéletesen kompatibilis a Midea D100-20ED6 és D80-20ED6 modellekkel, így nem kell külön adapterekkel vagy átalakítókkal bajlódnia. Az egyszerű csatlakoztatás lehetővé teszi a gyors és problémamentes üzembe helyezést, ezáltal csökkentve a karbantartási időt és költségeket.
Kapcsolóüzemű technológia az energiahatékonyság érdekében
A kapcsolóüzemű tápegységek előnye, hogy jelentősen csökkentik az energiaveszteséget, miközben kisebb méretűek és könnyebbek, mint a hagyományos transzformátoros megoldások. Ez a technológia nemcsak hatékonyabb, hanem hosszabb élettartamot is biztosít a bojler számára, mivel minimalizálja a hőtermelést és az elektromos komponensek terhelését.
Miért fontos a megfelelő tápegység használata?
Egy bojler összetett elektromos rendszer, amelynek zavartalan működéséhez elengedhetetlen a pontos és stabil áramellátás. A Midea 17151000006476 tápegység használatával elkerülhetőek a túláram vagy alulfeszültség által okozott meghibásodások, ezáltal hosszabb élettartamot és alacsonyabb karbantartási költségeket biztosítva.
Miért válassza a Midea 17151000006476 tápegységet?
– Kifejezetten a Midea D100-20ED6 és D80-20ED6 modellekhez tervezett. 
– Kapcsolóüzemű technológiájának köszönhetően energiahatékony és megbízható működést biztosít. 
– Megvédi a bojlert a feszültségingadozások okozta károktól. 
– Hosszú élettartamot garantál, így csökkentve a karbantartási igényt. 
– Egyszerűen csatlakoztatható, gyorsan üzembe helyezhető.
Ne bízza a véletlenre bojlerének működését! Válassza a Midea 17151000006476 tápegységet, hogy készüléke mindig optimális teljesítményt nyújtson, és élvezze a zavartalan, biztonságos vízmelegítést minden nap! Rendelje meg most, és tegye még megbízhatóbbá otthonának melegvíz-ellátását!</t>
        </is>
      </c>
    </row>
    <row r="501">
      <c r="A501" s="3" t="inlineStr">
        <is>
          <t>D50-15FG</t>
        </is>
      </c>
      <c r="B501" s="2" t="inlineStr">
        <is>
          <t>MIDEA D50-15FG elektromos vízmelegítő, bojler, 1500 W, 50 liter, zománcozott víztartály és fűtőszál, mechanikus vezérlés</t>
        </is>
      </c>
      <c r="C501" s="1" t="n">
        <v>56990.0</v>
      </c>
      <c r="D501" s="7" t="n">
        <f>HYPERLINK("https://www.somogyi.hu/product/midea-d50-15fg-elektromos-vizmelegito-bojler-1500-w-50-liter-zomancozott-viztartaly-es-futoszal-mechanikus-vezerles-d50-15fg-18214","https://www.somogyi.hu/product/midea-d50-15fg-elektromos-vizmelegito-bojler-1500-w-50-liter-zomancozott-viztartaly-es-futoszal-mechanikus-vezerles-d50-15fg-18214")</f>
        <v>0.0</v>
      </c>
      <c r="E501" s="7" t="n">
        <f>HYPERLINK("https://www.somogyi.hu/data/img/product_main_images/small/18214.jpg","https://www.somogyi.hu/data/img/product_main_images/small/18214.jpg")</f>
        <v>0.0</v>
      </c>
      <c r="F501" s="2" t="inlineStr">
        <is>
          <t>6939962591827</t>
        </is>
      </c>
      <c r="G501" s="4" t="inlineStr">
        <is>
          <t>Gondolt már arra, milyen praktikus lenne egy megbízható és könnyen kezelhető vízmelegítő, ami nem zavarja összetett digitális vezérlőpanelekkel? A Midea D50-15FG elektromos bojler pont ilyen: egyszerű, mégis hatékony megoldást kínál a mindennapi komfort érdekében, 1500 wattos teljesítményével és 50 literes kapacitásával. 
Az IPX4 vízállósági besorolás biztosítja a készülék biztonságos működését nedves környezetben is, míg a függőleges falra szerelhetőség lehetővé teszi, hogy még a szűkös helyiségekben is könnyen felszerelhető legyen. 
A tekerőgombos mechanikus vezérlés és az analóg hőmérő révén a hőmérséklet-szabályozás gyerekjáték. 
Zománcozott víztartály és fűtőszál garantálja a hosszú élettartamot, a kapilláris termosztát pedig a pontos hőmérséklet-szabályozást a 30-80°C tartományban. 
Földelt csatlakozódugóval és 115 cm hosszú tápkábellel láttuk el a készüléket így biztonságos és egyszerűen csatlakoztatható. 
A magnézium anód, melynek méretei ∅18 x 110 mm, védelmet nyújt a víztartály számára a korrózióval szemben. 
A készülék méretei ∅385 x 755 mm, energiahatékonysági osztálya pedig C, ami kedvező működési költségeket eredményezhet. 
Ne hagyja ki az egyszerűség és megbízhatóság tökéletes kombinációját! A Midea D50-15FG vízmelegítővel nem csupán energiát takaríthat meg, de a fürdőszobája is átláthatóbb, rendezettebb lesz. Válassza az egyszerű, mégis hatékony megoldásokat!</t>
        </is>
      </c>
    </row>
    <row r="502">
      <c r="A502" s="3" t="inlineStr">
        <is>
          <t>17451000A04548</t>
        </is>
      </c>
      <c r="B502" s="2" t="inlineStr">
        <is>
          <t>MIDEA 17451000A04548 fűtő egység D100-15FG, D80-15FG bojlerekhez, 1500 W, magnézium anóddal, zománcozott fűtőszállal, szilikon tömítőgyűrűvel</t>
        </is>
      </c>
      <c r="C502" s="1" t="n">
        <v>9790.0</v>
      </c>
      <c r="D502" s="7" t="n">
        <f>HYPERLINK("https://www.somogyi.hu/product/midea-17451000a04548-futo-egyseg-d100-15fg-d80-15fg-bojlerekhez-1500-w-magnezium-anoddal-zomancozott-futoszallal-szilikon-tomitogyuruvel-17451000a04548-18690","https://www.somogyi.hu/product/midea-17451000a04548-futo-egyseg-d100-15fg-d80-15fg-bojlerekhez-1500-w-magnezium-anoddal-zomancozott-futoszallal-szilikon-tomitogyuruvel-17451000a04548-18690")</f>
        <v>0.0</v>
      </c>
      <c r="E502" s="7" t="n">
        <f>HYPERLINK("https://www.somogyi.hu/data/img/product_main_images/small/18690.jpg","https://www.somogyi.hu/data/img/product_main_images/small/18690.jpg")</f>
        <v>0.0</v>
      </c>
      <c r="F502" s="2" t="inlineStr">
        <is>
          <t>5999084967086</t>
        </is>
      </c>
      <c r="G502" s="4" t="inlineStr">
        <is>
          <t>Elgondolkodott már azon, hogy miért nem melegíti fel elég gyorsan a vizet a MIDEA bojlere, vagy mi okozhatja annak lassuló teljesítményét? A MIDEA 17451000A04548 fűtő egység a megoldás ezekre a problémákra! 
Ez a kiváló minőségű fűtő egység kifejezetten a MIDEA D100-15FG és D80-15FG bojlerekhez lett kifejlesztve, és minden szükséges alkatrészt tartalmaz a zavartalan, megbízható működéshez. A fűtőegység központi eleme a 1500 W teljesítményű zománcozott fűtőszál, amely gyors és egyenletes vízmelegítést biztosít, így a bojler optimális teljesítménnyel működhet. Az egységhez tartozó magnézium anód (mérete: d22 x 300 mm) hatékonyan védi a bojler belső tartályát a korróziótól, hosszabb élettartamot garantálva ezzel. A magnézium anód cseréje jelentősen meghosszabbíthatja a bojler életciklusát, és hozzájárul a tartály állapotának megóvásához.
Az egység tartalmaz egy szilikon tömítőgyűrűt, amely megbízható szigetelést nyújt a szivárgás elkerülése érdekében, biztosítva ezzel a hibamentes működést. A 90 mm átmérőjű talp pontos illeszkedést garantál a bojler modelljéhez, míg a hőfokszabályozó tartócső hossza 440 mm, amely precíz hőmérséklet-szabályozást tesz lehetővé, hogy mindig a kívánt hőfokon használhassa a meleg vizet. Ez a komplett fűtőegység minden szükséges alkatrészt tartalmaz, hogy bojlere tökéletesen működjön, csökkentve ezzel a karbantartási igényt és növelve a hosszú távú megbízhatóságot. A MIDEA fűtőegység kiváló választás mindenki számára, aki hatékony és tartós megoldást keres bojleréhez.
Ne habozzon, rendeljen most, és biztosítsa bojlerének hosszú távú teljesítményét és megbízhatóságát a MIDEA 17451000A04548 fűtő egységgel!</t>
        </is>
      </c>
    </row>
    <row r="503">
      <c r="A503" s="3" t="inlineStr">
        <is>
          <t>D30-25VD1(U)</t>
        </is>
      </c>
      <c r="B503" s="2" t="inlineStr">
        <is>
          <t>MIDEA elektromos vízmelegítő, bojler, 2500 W, 30 liter, konyhapult alá szerelhető, IPX4, zománcozott, 30-75 °C, 0,75 MPa</t>
        </is>
      </c>
      <c r="C503" s="1" t="n">
        <v>57590.0</v>
      </c>
      <c r="D503" s="7" t="n">
        <f>HYPERLINK("https://www.somogyi.hu/product/midea-elektromos-vizmelegito-bojler-2500-w-30-liter-konyhapult-ala-szerelheto-ipx4-zomancozott-30-75-c-0-75-mpa-d30-25vd1-u-18212","https://www.somogyi.hu/product/midea-elektromos-vizmelegito-bojler-2500-w-30-liter-konyhapult-ala-szerelheto-ipx4-zomancozott-30-75-c-0-75-mpa-d30-25vd1-u-18212")</f>
        <v>0.0</v>
      </c>
      <c r="E503" s="7" t="n">
        <f>HYPERLINK("https://www.somogyi.hu/data/img/product_main_images/small/18212.jpg","https://www.somogyi.hu/data/img/product_main_images/small/18212.jpg")</f>
        <v>0.0</v>
      </c>
      <c r="F503" s="2" t="inlineStr">
        <is>
          <t>6939962591803</t>
        </is>
      </c>
      <c r="G503" s="4" t="inlineStr">
        <is>
          <t>Unja már, hogy mindig várnia kell a meleg vízre, miközben fontosabb dolgokkal is foglalkozhatna? A Midea D30-25VD1(U) elektromos vízmelegítő forradalmi megoldást kínál: többé nem kell várakoznia, ráadásul energiát is megtakaríthat! 
A 2500 wattos teljesítmény gyors vízmelegítést tesz lehetővé, míg a 30 literes névleges űrtartalom biztosíthatja, hogy elegendő meleg víz álljon rendelkezésre. 
A készülék konyhapult alá szerelhető kivitelének köszönhetően nem vesz el értékes helyet, ugyanakkor az IPX4 vízállósági fokozatnak köszönhetően biztonságosan használható. 
A tekerőgombos mechanikus vezérlés lehetővé teszi a könnyű hőmérséklet-beállítást a 30-75°C tartományban, az optimális komfort érdekében. 
A zománcozott víztartály és fűtőszál hosszú élettartamot biztosít, a magnézium anód pedig védelmet nyújt a vízkőlerakódás és a korrózió ellen.
A földelt csatlakozódugó és a 100 cm hosszú tápkábel még nagyobb biztonságot nyújt. 
Mindezek mellett a készülék méretei mindössze 440 x 440 x 402 mm, tehát igazán helytakarékos megoldást kínál. 
A C energiahatékonysági osztályba tartozó Midea D30-25VD1(U) nem csupán a komfortérzetét növeli, de segít a környezet védelmében is, hiszen kevesebb energiát fogyaszt, csökkentve ezzel a rezsi költségeit. 
Ne tegye próbára a türelmét felesleges várakozással! Válassza a Midea D30-25VD1(U) elektromos vízmelegítőt, és élvezze a zavartalan melegvíz-ellátást, valamint az alacsonyabb energiaszámlát már ma!</t>
        </is>
      </c>
    </row>
    <row r="504">
      <c r="A504" s="3" t="inlineStr">
        <is>
          <t>D30-25VD1(O)</t>
        </is>
      </c>
      <c r="B504" s="2" t="inlineStr">
        <is>
          <t>MIDEA elektromos vízmelegítő, bojler, 2500 W, 30 liter, konyhapult fölé szerelhető, IPX4, zománcozott, 30-75 °C, 0,75 MPa</t>
        </is>
      </c>
      <c r="C504" s="1" t="n">
        <v>57590.0</v>
      </c>
      <c r="D504" s="7" t="n">
        <f>HYPERLINK("https://www.somogyi.hu/product/midea-elektromos-vizmelegito-bojler-2500-w-30-liter-konyhapult-fole-szerelheto-ipx4-zomancozott-30-75-c-0-75-mpa-d30-25vd1-o-18213","https://www.somogyi.hu/product/midea-elektromos-vizmelegito-bojler-2500-w-30-liter-konyhapult-fole-szerelheto-ipx4-zomancozott-30-75-c-0-75-mpa-d30-25vd1-o-18213")</f>
        <v>0.0</v>
      </c>
      <c r="E504" s="7" t="n">
        <f>HYPERLINK("https://www.somogyi.hu/data/img/product_main_images/small/18213.jpg","https://www.somogyi.hu/data/img/product_main_images/small/18213.jpg")</f>
        <v>0.0</v>
      </c>
      <c r="F504" s="2" t="inlineStr">
        <is>
          <t>6939962591810</t>
        </is>
      </c>
      <c r="G504" s="4" t="inlineStr">
        <is>
          <t>Szembesült már azzal a problémával, hogy túl sok időt kell várnia a meleg vízre, különösen a konyhában? A Midea D30-25VD1(O) elektromos vízmelegítő megoldást nyújt erre a problémára, és tökéletes választás lehet bármely modern háztartás számára, különös tekintettel kompakt méretére és 30 literes űrtartalmára. 
Ezt a vízmelegítőt közvetlenül a konyhapult fölé szerelheti, így helyet takaríthat meg, miközben gyorsan biztosíthat melegvizet. 
Az IPX4 vízállósági osztályú készülék függőlegesen szerelhető a falra, így csekély helyet foglal el. 
A tekerőgombos mechanikus vezérlés könnyű kezelhetőséget garantál, míg a zománcozott víztartály és fűtőszál hosszú távú ellenálló képességet biztosít a rozsda és a lerakódások ellen. 
A kapilláris termosztáttal precízen állíthatja be a hőmérsékletet a 30-75°C tartományban. 
A földelt csatlakozódugónak és a 100 cm hosszú tápkábelnek köszönhetően a telepítés egyszerű és biztonságos. 
A magnézium anód, extra védelmet nyújt a korrózió ellen. 
A termék méretei 440 x 440 x 402 mm, energiahatékonysági osztálya pedig C, így a készülék nemcsak helytakarékos, de energiatakarékos is. 
Ne hagyja figyelmen kívül a konyhai kényelem új szintjét! A Midea D30-25VD1(O) elektromos vízmelegítővel azonnal hozzájuthat a meleg vízhez, miközben energiát és helyet is megtakarít. Tegye hatékonyabbá és kényelmesebbé otthonát még ma!</t>
        </is>
      </c>
    </row>
    <row r="505">
      <c r="A505" s="3" t="inlineStr">
        <is>
          <t>D10-20VD1(U)</t>
        </is>
      </c>
      <c r="B505" s="2" t="inlineStr">
        <is>
          <t>MIDEA D10-20VD1(U) elektromos vízmelegítő, bojler, 2000 W, 10 liter, zománcozott víztartály és fűtőszál, mechanikus vezérlés, konyhapult alá szerelhető</t>
        </is>
      </c>
      <c r="C505" s="1" t="n">
        <v>36190.0</v>
      </c>
      <c r="D505" s="7" t="n">
        <f>HYPERLINK("https://www.somogyi.hu/product/midea-d10-20vd1-u-elektromos-vizmelegito-bojler-2000-w-10-liter-zomancozott-viztartaly-es-futoszal-mechanikus-vezerles-konyhapult-ala-szerelheto-d10-20vd1-u-18208","https://www.somogyi.hu/product/midea-d10-20vd1-u-elektromos-vizmelegito-bojler-2000-w-10-liter-zomancozott-viztartaly-es-futoszal-mechanikus-vezerles-konyhapult-ala-szerelheto-d10-20vd1-u-18208")</f>
        <v>0.0</v>
      </c>
      <c r="E505" s="7" t="n">
        <f>HYPERLINK("https://www.somogyi.hu/data/img/product_main_images/small/18208.jpg","https://www.somogyi.hu/data/img/product_main_images/small/18208.jpg")</f>
        <v>0.0</v>
      </c>
      <c r="F505" s="2" t="inlineStr">
        <is>
          <t>6939962591766</t>
        </is>
      </c>
      <c r="G505" s="4" t="inlineStr">
        <is>
          <t>Unja már, hogy mindig várnia kell a meleg vízre, miközben fontosabb dolgokkal is foglalkozhatna? A Midea D10-20VD1(U) elektromos vízmelegítő forradalmi megoldást kínál: többé nem kell várakoznia, ráadásul energiát is megtakaríthat! 
A 2000 wattos teljesítmény gyors vízmelegítést tesz lehetővé, míg a 10 literes névleges űrtartalom biztosíthatja, hogy elegendő meleg víz álljon rendelkezésre. 
A készülék konyhapult alá szerelhető kivitelének köszönhetően nem vesz el értékes helyet, ugyanakkor az IPX4 vízállósági fokozatnak köszönhetően biztonságosan használható. 
A tekerőgombos mechanikus vezérlés lehetővé teszi a könnyű hőmérséklet-beállítást a 30-75°C tartományban, az optimális komfort érdekében. 
A zománcozott víztartály és fűtőszál hosszú élettartamot biztosít, a magnézium anód pedig védelmet nyújt a vízkőlerakódás és a korrózió ellen, mérete pedig ∅18x110mm. 
A földelt csatlakozódugó és a 100 cm hosszú tápkábel még nagyobb biztonságot nyújt. 
Mindezek mellett a készülék méretei mindössze 324x324x300 mm, tehát igazán helytakarékos megoldást kínál. 
Az A energiahatékonysági osztályba tartozó Midea D10-20VD1(U) nem csupán a komfortérzetét növeli, de segít a környezet védelmében is, hiszen kevesebb energiát fogyaszt, csökkentve ezzel a rezsi költségeit. 
Ne tegye próbára a türelmét felesleges várakozással! Válassza a Midea D10-20VD1(U) elektromos vízmelegítőt, és élvezze a zavartalan melegvíz-ellátást, valamint az alacsonyabb energiaszámlát már ma!</t>
        </is>
      </c>
    </row>
    <row r="506">
      <c r="A506" s="3" t="inlineStr">
        <is>
          <t>D80-15FG</t>
        </is>
      </c>
      <c r="B506" s="2" t="inlineStr">
        <is>
          <t>MIDEA D80-15FG elektromos vízmelegítő, bojler, 1500 W, 80 liter, zománcozott víztartály és fűtőszál, mechanikus vezérlés</t>
        </is>
      </c>
      <c r="C506" s="1" t="n">
        <v>69290.0</v>
      </c>
      <c r="D506" s="7" t="n">
        <f>HYPERLINK("https://www.somogyi.hu/product/midea-d80-15fg-elektromos-vizmelegito-bojler-1500-w-80-liter-zomancozott-viztartaly-es-futoszal-mechanikus-vezerles-d80-15fg-18215","https://www.somogyi.hu/product/midea-d80-15fg-elektromos-vizmelegito-bojler-1500-w-80-liter-zomancozott-viztartaly-es-futoszal-mechanikus-vezerles-d80-15fg-18215")</f>
        <v>0.0</v>
      </c>
      <c r="E506" s="7" t="n">
        <f>HYPERLINK("https://www.somogyi.hu/data/img/product_main_images/small/18215.jpg","https://www.somogyi.hu/data/img/product_main_images/small/18215.jpg")</f>
        <v>0.0</v>
      </c>
      <c r="F506" s="2" t="inlineStr">
        <is>
          <t>6939962591834</t>
        </is>
      </c>
      <c r="G506" s="4" t="inlineStr">
        <is>
          <t>Gondolt már arra, milyen praktikus lenne egy megbízható és könnyen kezelhető vízmelegítő, ami nem zavarja összetett digitális vezérlőpanelekkel? A Midea D80-15FG elektromos bojler pont ilyen: egyszerű, mégis hatékony megoldást kínál a mindennapi komfort érdekében, 1500 wattos teljesítményével és 80 literes kapacitásával. 
IPX4 vízállósági besorolás biztosítja a készülék biztonságos működését nedves környezetben is, míg a függőleges falra szerelhetőség lehetővé teszi, hogy még a szűkös helyiségekben is könnyen felszerelhető legyen. 
A tekerőgombos mechanikus vezérlés és az analóg hőmérő révén a hőmérséklet-szabályozás gyerekjáték. 
Zománcozott víztartály és fűtőszál garantálja a hosszú élettartamot, a kapilláris termosztát pedig a pontos hőmérséklet-szabályozást a 30-80°C tartományban. 
Földelt csatlakozódugóval és 115 cm hosszú tápkábellel láttuk el a készüléket így biztonságos és egyszerűen csatlakoztatható. 
A magnézium anód, melynek méretei ∅20 x 297 mm, védelmet nyújt a víztartály számára a korrózióval szemben. 
A készülék méretei ∅450 x 812 mm, energiahatékonysági osztálya pedig C, ami kedvező működési költségeket eredményezhet. 
Ne hagyja ki az egyszerűség és megbízhatóság tökéletes kombinációját! A Midea D80-15FG vízmelegítővel nem csupán energiát takaríthat meg, de a fürdőszobája is átláthatóbb, rendezettebb lesz. Válassza az egyszerű, mégis hatékony megoldásokat!</t>
        </is>
      </c>
    </row>
    <row r="507">
      <c r="A507" s="3" t="inlineStr">
        <is>
          <t>17451000008900</t>
        </is>
      </c>
      <c r="B507" s="2" t="inlineStr">
        <is>
          <t>MIDEA 17451000008900 fűtő egység D10-20VD1(O), D10-20VD1(U) bojlerekhez, 2000 W, magnézium anóddal, zománcozott fűtőszállal, szilikon gyűrűvel</t>
        </is>
      </c>
      <c r="C507" s="1" t="n">
        <v>5990.0</v>
      </c>
      <c r="D507" s="7" t="n">
        <f>HYPERLINK("https://www.somogyi.hu/product/midea-17451000008900-futo-egyseg-d10-20vd1-o-d10-20vd1-u-bojlerekhez-2000-w-magnezium-anoddal-zomancozott-futoszallal-szilikon-gyuruvel-17451000008900-18699","https://www.somogyi.hu/product/midea-17451000008900-futo-egyseg-d10-20vd1-o-d10-20vd1-u-bojlerekhez-2000-w-magnezium-anoddal-zomancozott-futoszallal-szilikon-gyuruvel-17451000008900-18699")</f>
        <v>0.0</v>
      </c>
      <c r="E507" s="7" t="n">
        <f>HYPERLINK("https://www.somogyi.hu/data/img/product_main_images/small/18699.jpg","https://www.somogyi.hu/data/img/product_main_images/small/18699.jpg")</f>
        <v>0.0</v>
      </c>
      <c r="F507" s="2" t="inlineStr">
        <is>
          <t>5999084967178</t>
        </is>
      </c>
      <c r="G507" s="4" t="inlineStr">
        <is>
          <t>Felmerült már Önben, hogy miért nem működik teljes hatékonysággal MIDEA bojlere, vagy mi okozhatja annak meghibásodását? A MIDEA 17451000008900 fűtő egység a megoldás! 
Ez a prémium minőségű fűtő egység kifejezetten a D10-20VD1(O) és D10-20VD1(U) bojlerekhez lett tervezve, és mindent tartalmaz, amire szüksége van a bojler hosszú távú, hatékony működéséhez. A 2000 W teljesítményű zománcozott fűtőszál gyors és egyenletes vízmelegítést biztosít, miközben rendkívül tartós kialakításának köszönhetően hosszú élettartamot garantál. A fűtőegységhez tartozó magnézium anód (mérete: d18 x 110 mm) kiemelkedő védelmet nyújt a korrózió ellen, így megóvja a bojler tartályát a káros lerakódásoktól, és jelentősen meghosszabbítja annak élettartamát.
A rendszer megbízható szigeteléséért és a szivárgások elkerüléséért szilikon tömítőgyűrű felel, amely biztosítja a biztonságos és hiba nélküli működést. A fűtő egység talp átmérője 72 mm, ami pontos illeszkedést biztosít a kompatibilis bojlerekhez, míg a hőfokszabályozó tartócső hossza 145 mm, lehetővé téve a precíz hőmérséklet-szabályozást, hogy mindig a megfelelő hőfokon élvezhesse a meleg vizet. Ez a fűtőegység egy komplett megoldást kínál, amely biztosítja a bojler optimális teljesítményét és hosszú élettartamát. A MIDEA fűtőegység garantálja, hogy a bojler hatékonyan és megbízhatóan működjön, így Ön mindig meleg vízhez juthat, amikor csak szüksége van rá.
Ne várjon tovább! Rendelje meg a MIDEA 17451000008900 fűtő egységet, és biztosítsa bojlerének hosszú távú védelmét és tökéletes működését!</t>
        </is>
      </c>
    </row>
    <row r="508">
      <c r="A508" s="6" t="inlineStr">
        <is>
          <t xml:space="preserve">   Háztartási gép, eszköz / Konyhai kellékek</t>
        </is>
      </c>
      <c r="B508" s="6" t="inlineStr">
        <is>
          <t/>
        </is>
      </c>
      <c r="C508" s="6" t="inlineStr">
        <is>
          <t/>
        </is>
      </c>
      <c r="D508" s="6" t="inlineStr">
        <is>
          <t/>
        </is>
      </c>
      <c r="E508" s="6" t="inlineStr">
        <is>
          <t/>
        </is>
      </c>
      <c r="F508" s="6" t="inlineStr">
        <is>
          <t/>
        </is>
      </c>
      <c r="G508" s="6" t="inlineStr">
        <is>
          <t/>
        </is>
      </c>
    </row>
    <row r="509">
      <c r="A509" s="3" t="inlineStr">
        <is>
          <t>10-111-035</t>
        </is>
      </c>
      <c r="B509" s="2" t="inlineStr">
        <is>
          <t>Nava 10-111-035 Misty szilikon tölcsér, 10 cm</t>
        </is>
      </c>
      <c r="C509" s="1" t="n">
        <v>929.0</v>
      </c>
      <c r="D509" s="7" t="n">
        <f>HYPERLINK("https://www.somogyi.hu/product/nava-10-111-035-misty-szilikon-tolcser-10-cm-10-111-035-18659","https://www.somogyi.hu/product/nava-10-111-035-misty-szilikon-tolcser-10-cm-10-111-035-18659")</f>
        <v>0.0</v>
      </c>
      <c r="E509" s="7" t="n">
        <f>HYPERLINK("https://www.somogyi.hu/data/img/product_main_images/small/18659.jpg","https://www.somogyi.hu/data/img/product_main_images/small/18659.jpg")</f>
        <v>0.0</v>
      </c>
      <c r="F509" s="2" t="inlineStr">
        <is>
          <t>5205746888966</t>
        </is>
      </c>
      <c r="G509" s="4" t="inlineStr">
        <is>
          <t>Szeretné Ön is a folyadékokat könnyedén áttölteni üvegekbe? A Nava 10-111-035 Misty szilikon tölcsérrel mostantól pillanatok alatt, tiszta és rendezett konyhában végezheti ezt a feladatot. 
Ez a különleges eszköz kiemelkedik rugalmas, tartós, magas minőségű szilikon anyagának köszönhetően, amely élelmiszerekkel való érintkezésre is megfelelő és ellenáll a magas hőmérsékletnek.
A Misty konyhai eszközök sorozata a konyha és főzés szerelmeseinek lett tervezve, ahol a funkcionalitás és innováció elveit követve minden elképzelhető eszközt megtalálhat, amire csak szüksége lehet a modern konyhában. A Misty termékcsalád kiváló minőségű, hőálló anyagokból készült, megfelelve az élelmiszerekkel való érintkezésre vonatkozó szabályozásoknak, így biztosítva a konyhája számára a teljes mértékben egészséges és biztonságos választást.A termék mosogatógépben is tisztítható, így nem csak a használata, de a tisztán tartása is rendkívül egyszerű. 
Néhány tipp, hogy sokáig használhassa a terméket:
* Használat előtt mosogassa el meleg, szappanos vízzel és puha szivaccsal. 
* Használat után mosogassa el és szárítsa meg alaposan. 
* Ne használjon fém dörzsölőket, drótot vagy erős tisztítószereket.
Fedezze fel a Nava Misty szilikon tölcsér által nyújtott kényelmet és hatékonyságot, és tegye a folyadékok áttöltését zökkenőmentessé konyhájában!</t>
        </is>
      </c>
    </row>
    <row r="510">
      <c r="A510" s="3" t="inlineStr">
        <is>
          <t>10-111-016</t>
        </is>
      </c>
      <c r="B510" s="2" t="inlineStr">
        <is>
          <t>Nava 10-111-016 Misty szilikon ételfogó, húsokhoz, köretekhez, 26 cm</t>
        </is>
      </c>
      <c r="C510" s="1" t="n">
        <v>2490.0</v>
      </c>
      <c r="D510" s="7" t="n">
        <f>HYPERLINK("https://www.somogyi.hu/product/nava-10-111-016-misty-szilikon-etelfogo-husokhoz-koretekhez-26-cm-10-111-016-18649","https://www.somogyi.hu/product/nava-10-111-016-misty-szilikon-etelfogo-husokhoz-koretekhez-26-cm-10-111-016-18649")</f>
        <v>0.0</v>
      </c>
      <c r="E510" s="7" t="n">
        <f>HYPERLINK("https://www.somogyi.hu/data/img/product_main_images/small/18649.jpg","https://www.somogyi.hu/data/img/product_main_images/small/18649.jpg")</f>
        <v>0.0</v>
      </c>
      <c r="F510" s="2" t="inlineStr">
        <is>
          <t>5205746889420</t>
        </is>
      </c>
      <c r="G510" s="4" t="inlineStr">
        <is>
          <t>Egy sokoldalú konyhai eszközt keres, amely segít a húsok, zöldségek könnyed és biztonságos megfordításában a sütőben vagy serpenyőben? A Nava 10-111-016 Misty szilikon ételfogó az Ön tökéletes segítője lesz minden főzési folyamatban.
Ez a kiváló minőségű, élelmiszerrel érintkezésre alkalmas szilikonfejjel rendelkező ételfogó (hossza 26 cm) ellenáll a magas hőmérsékletnek, akár 200°C-ig. Ergonomikus, csúszásmentes markolata kényelmes és biztonságos fogást biztosít használat közben. A markolat végén található biztonsági zár az ételfogót zárt állapotban tartja, így helytakarékos tárolást tesz lehetővé. A praktikus akasztólyuknak köszönhetően könnyedén felakasztható, hogy mindig kéznél legyen, amikor szükség van rá.
A Misty konyhai eszközök sorozata a konyha rajongói számára lett tervezve. Ebben a sorozatban mindent megtalál, amire csak szüksége lehet a konyhában, a legegyszerűbb eszközöktől a legkülönlegesebb kiegészítőkig. A modern konyhai eszközök tervezési elveit követve a Misty sorozat funkcionális és innovatív megoldásokat kínál a modern konyha számos igényének kielégítésére. Az anyagok kiváló minősége hosszú élettartamot és hőállóságot garantál az eszközöknek.
A Misty sorozat termékei magas hőmérsékletnek ellenálló anyagokból készülnek, megfelelnek az élelmiszerrel érintkező termékekre vonatkozó szabályozásoknak, így egészséges és biztonságos választás a konyhájába.Mosogatógépben is mosható, így a tisztításuk egyszerű és gyors. 
Az ételfogó acélból készült szilikon részekkel, ezért tapadásmentes bevonattal ellátott edényekhez is használható, mivel nem karcolja vagy károsítja a bevonatot.
Néhány tipp, hogy sokáig használhassa a terméket:
* Mielőtt először használná, mossa el meleg, szappanos vízzel és puha szivaccsal. 
* Használat után alaposan mosogassa és szárítsa meg. 
* Ne használjon fém dörzsölőket, drótot vagy erős tisztítószereket. 
* Ne hagyja a terméket a főzőedényben főzés közben.
Válassza a Nava Misty szilikon ételfogót a kényelmes, biztonságos és stílusos konyhai munkához.</t>
        </is>
      </c>
    </row>
    <row r="511">
      <c r="A511" s="3" t="inlineStr">
        <is>
          <t>10-111-017</t>
        </is>
      </c>
      <c r="B511" s="2" t="inlineStr">
        <is>
          <t>Nava 10-111-017 Misty szilikon ételfogó, húsokhoz, tésztához, 26 cm</t>
        </is>
      </c>
      <c r="C511" s="1" t="n">
        <v>2490.0</v>
      </c>
      <c r="D511" s="7" t="n">
        <f>HYPERLINK("https://www.somogyi.hu/product/nava-10-111-017-misty-szilikon-etelfogo-husokhoz-tesztahoz-26-cm-10-111-017-18650","https://www.somogyi.hu/product/nava-10-111-017-misty-szilikon-etelfogo-husokhoz-tesztahoz-26-cm-10-111-017-18650")</f>
        <v>0.0</v>
      </c>
      <c r="E511" s="7" t="n">
        <f>HYPERLINK("https://www.somogyi.hu/data/img/product_main_images/small/18650.jpg","https://www.somogyi.hu/data/img/product_main_images/small/18650.jpg")</f>
        <v>0.0</v>
      </c>
      <c r="F511" s="2" t="inlineStr">
        <is>
          <t>5205746889390</t>
        </is>
      </c>
      <c r="G511" s="4" t="inlineStr">
        <is>
          <t>Egy sokoldalú konyhai eszközt keres, amely segít a húsok, zöldségek könnyed és biztonságos megfordításában a sütőben vagy serpenyőben? A Nava 10-111-017 Misty szilikon ételfogó az Ön tökéletes segítője lesz minden főzési folyamatban.
Ez a kiváló minőségű, élelmiszerrel érintkezésre alkalmas szilikonfejjel rendelkező ételfogó (hossza 26 cm) ellenáll a magas hőmérsékletnek, akár 200°C-ig. Ergonomikus, csúszásmentes markolata kényelmes és biztonságos fogást biztosít használat közben. A markolat végén található biztonsági zár az ételfogót zárt állapotban tartja, így helytakarékos tárolást tesz lehetővé. A praktikus akasztólyuknak köszönhetően könnyedén felakasztható, hogy mindig kéznél legyen, amikor szükség van rá.
A Misty konyhai eszközök sorozata a konyha rajongói számára lett tervezve. Ebben a sorozatban mindent megtalál, amire csak szüksége lehet a konyhában, a legegyszerűbb eszközöktől a legkülönlegesebb kiegészítőkig. A modern konyhai eszközök tervezési elveit követve a Misty sorozat funkcionális és innovatív megoldásokat kínál a modern konyha számos igényének kielégítésére. Az anyagok kiváló minősége hosszú élettartamot és hőállóságot garantál az eszközöknek.
A Misty sorozat termékei magas hőmérsékletnek ellenálló anyagokból készülnek, megfelelnek az élelmiszerrel érintkező termékekre vonatkozó szabályozásoknak, így egészséges és biztonságos választás a konyhájába.Mosogatógépben is mosható, így a tisztításuk egyszerű és gyors. 
Az ételfogó acélból készült szilikon részekkel, ezért tapadásmentes bevonattal ellátott edényekhez is használható, mivel nem karcolja vagy károsítja a bevonatot.
Néhány tipp, hogy sokáig használhassa a terméket:
* Mielőtt először használná, mossa el meleg, szappanos vízzel és puha szivaccsal. 
* Használat után alaposan mosogassa és szárítsa meg. 
* Ne használjon fém dörzsölőket, drótot vagy erős tisztítószereket. 
* Ne hagyja a terméket a főzőedényben főzés közben.
Válassza a Nava Misty szilikon ételfogót a kényelmes, biztonságos és stílusos konyhai munkához.</t>
        </is>
      </c>
    </row>
    <row r="512">
      <c r="A512" s="3" t="inlineStr">
        <is>
          <t>10-111-019</t>
        </is>
      </c>
      <c r="B512" s="2" t="inlineStr">
        <is>
          <t>Nava 10-111-019 Misty sütemény- és ravioli vágó, rozsdamentes acél kerekekkel, 18,5 cm</t>
        </is>
      </c>
      <c r="C512" s="1" t="n">
        <v>1290.0</v>
      </c>
      <c r="D512" s="7" t="n">
        <f>HYPERLINK("https://www.somogyi.hu/product/nava-10-111-019-misty-sutemeny-es-ravioli-vago-rozsdamentes-acel-kerekekkel-18-5-cm-10-111-019-18652","https://www.somogyi.hu/product/nava-10-111-019-misty-sutemeny-es-ravioli-vago-rozsdamentes-acel-kerekekkel-18-5-cm-10-111-019-18652")</f>
        <v>0.0</v>
      </c>
      <c r="E512" s="7" t="n">
        <f>HYPERLINK("https://www.somogyi.hu/data/img/product_main_images/small/18652.jpg","https://www.somogyi.hu/data/img/product_main_images/small/18652.jpg")</f>
        <v>0.0</v>
      </c>
      <c r="F512" s="2" t="inlineStr">
        <is>
          <t>5205746119107</t>
        </is>
      </c>
      <c r="G512" s="4" t="inlineStr">
        <is>
          <t>Készítsen otthoni raviolit, töltött pitét vagy kekszet könnyedén és gyorsan, az Ön által választott méretben és formában a Nava 10-111-019 sütemény- és ravioli vágóval!
Ez az eszköz kettős vágókerékkel rendelkezik: egy sima az egyenes vágásokhoz és egy hullámos a cikk-cakk szélekhez, így a szerszám vágás közben egyidejűleg lezárja a pite vagy a ravioli széleit. Ideális tészta, sós rudak, grissini, édes vagy sós kekszek és sütemények készítésére, valamint piték díszítésére.
Rozsdamentes acélból készült, élelmiszerrel való érintkezésre alkalmas, ergonómikus, csúszásmentes, puha tapintású markolattal a stabil és biztonságos kezelhetőség érdekében. A markolat végén található praktikus lyuknak köszönhetően könnyen felakasztható.
A Misty konyhai eszközök a konyha és főzés szerelmeseinek készült. Ebben a sorozatban mindent megtalál, amit csak el tud képzelni a konyhájához, a legegyszerűbb eszközöktől a legkülönlegesebb kiegészítőkig. A modern konyhai eszközök tervezési elveit követve a Misty sorozat funkcionalitást és innovációt hoz a modern konyha számos igényének kiszolgálására. Az anyagok kiváló minősége hosszabb élettartamot és hőállóságot garantál az eszközöknek.
A Misty sorozat termékei magas hőmérsékletnek ellenálló anyagokból készülnek, megfelelnek az élelmiszerrel érintkező termékekre vonatkozó szabályozásoknak, így egészséges és biztonságos választás a konyhájába. Mosogatógépben mosható.
Néhány tipp, hogy sokáig használhassa a terméket:
* Használat előtt mosogassa el meleg, szappanos vízzel és puha szivaccsal. 
* Használat után mosogassa el és szárítsa meg alaposan. 
* Ne használjon fém dörzsölőket, drótot vagy erős tisztítószereket.
Válassza a Nava Misty sütemény- és ravioli vágót a kényelmes, biztonságos és stílusos konyhai munkához.</t>
        </is>
      </c>
    </row>
    <row r="513">
      <c r="A513" s="3" t="inlineStr">
        <is>
          <t>10-111-047</t>
        </is>
      </c>
      <c r="B513" s="2" t="inlineStr">
        <is>
          <t>Nava 10-111-047 Misty tojásszeletelő, rozsdamentes vágórész, 12 cm</t>
        </is>
      </c>
      <c r="C513" s="1" t="n">
        <v>1150.0</v>
      </c>
      <c r="D513" s="7" t="n">
        <f>HYPERLINK("https://www.somogyi.hu/product/nava-10-111-047-misty-tojasszeletelo-rozsdamentes-vagoresz-12-cm-10-111-047-18657","https://www.somogyi.hu/product/nava-10-111-047-misty-tojasszeletelo-rozsdamentes-vagoresz-12-cm-10-111-047-18657")</f>
        <v>0.0</v>
      </c>
      <c r="E513" s="7" t="n">
        <f>HYPERLINK("https://www.somogyi.hu/data/img/product_main_images/small/18657.jpg","https://www.somogyi.hu/data/img/product_main_images/small/18657.jpg")</f>
        <v>0.0</v>
      </c>
      <c r="F513" s="2" t="inlineStr">
        <is>
          <t>5205746129595</t>
        </is>
      </c>
      <c r="G513" s="4" t="inlineStr">
        <is>
          <t>Van megoldása arra, hogy hogyan készíthet tökéletesen egyenletes tojásszeleteket villámgyorsan? A Nava 10-111-047 Misty tojásszeletelővel mostantól egyszerűen és gyorsan készíthet speciális salátákat és előételeket. 
Ez konyhai eszköz lehetővé teszi, hogy egyetlen mozdulattal 10 tökéletesen egyforma szeletet készítsen, anélkül, hogy a tojást összetörné. A Misty tojásszeletelő nemcsak tojásokhoz tökéletes választás, hanem gombák, avokádók, kiwik, főtt burgonyák egyenletes szeletelésére is kiválóan alkalmas.
Az ergonomikus kialakítás és a tartós anyagok, mint a műanyag test és a rozsdamentes acél vágóhúrok, garantálják a termék hosszú élettartamát és biztonságos használatát élelmiszerekkel érintkezve. 
A Misty konyhai eszközök sorozata a konyha és főzés szerelmeseinek lett tervezve, ahol a funkcionalitás és innováció elveit követve minden elképzelhető eszközt megtalálhat, amire csak szüksége lehet a modern konyhában. A Misty termékcsalád kiváló minőségű, hőálló anyagokból készült, megfelelve az élelmiszerekkel való érintkezésre vonatkozó szabályozásoknak, így biztosítva a konyhája számára a teljes mértékben egészséges és biztonságos választást.A termék mosogatógépben is tisztítható, így nem csak a használata, de a tisztán tartása is rendkívül egyszerű. 
Néhány tipp, hogy sokáig használhassa a terméket:
* Használat előtt mosogassa el meleg, szappanos vízzel és puha szivaccsal. 
* Használat után mosogassa el és szárítsa meg alaposan. 
* Ne használjon fém dörzsölőket, drótot vagy erős tisztítószereket.
Tegye próbára a Nava Misty tojásszeletelőt, és emelje új szintre saláták és előételek elkészítését!</t>
        </is>
      </c>
    </row>
    <row r="514">
      <c r="A514" s="3" t="inlineStr">
        <is>
          <t>10-167-046</t>
        </is>
      </c>
      <c r="B514" s="2" t="inlineStr">
        <is>
          <t>Nava 10-167-046 Misty multifunkcionális olló, diótörő, konzervnyitó</t>
        </is>
      </c>
      <c r="C514" s="1" t="n">
        <v>1290.0</v>
      </c>
      <c r="D514" s="7" t="n">
        <f>HYPERLINK("https://www.somogyi.hu/product/nava-10-167-046-misty-multifunkcionalis-ollo-diotoro-konzervnyito-10-167-046-18658","https://www.somogyi.hu/product/nava-10-167-046-misty-multifunkcionalis-ollo-diotoro-konzervnyito-10-167-046-18658")</f>
        <v>0.0</v>
      </c>
      <c r="E514" s="7" t="n">
        <f>HYPERLINK("https://www.somogyi.hu/data/img/product_main_images/small/18658.jpg","https://www.somogyi.hu/data/img/product_main_images/small/18658.jpg")</f>
        <v>0.0</v>
      </c>
      <c r="F514" s="2" t="inlineStr">
        <is>
          <t>5205746908183</t>
        </is>
      </c>
      <c r="G514" s="4" t="inlineStr">
        <is>
          <t>Szeretne egy mindenre képes konyhai eszközt, ami egyszerűsíti a konyhai munkákat? A Nava 10-167-046 Misty multifunkcionális ollóval könnyedén és gyorsan apríthat húst, zöldségeket vagy fűszernövényeket. 
Ez a sokoldalú konyhai eszköz nemcsak mint olló használható, hanem diótörőként és konzervnyitóként is funkcionál. A levehető pengék megkönnyítik a tisztítást, és külön-külön is használhatók, akár késként vagy halpucoló eszközként. Kiemelkedően tartós, 18/8-as rozsdamentes acél pengékkel és ergonomikus, csúszásmentes markolattal rendelkezik a könnyű és biztonságos használathoz. Mosogatógépben mosható.
Néhány tipp, hogy sokáig és biztonságosan használhassa a terméket:
* Az első használat előtt mossa el a terméket langyos, szappanos vízzel és puha szivaccsal.
* Minden használat után alaposan mossa el és szárítsa meg egy száraz ruhával.
* Kerülje a fémszivacsok, drótok vagy erős tisztítószerek használatát.
* Rozsdamentes acél termékekre specializált tisztítószerek használata ajánlott.
* Tartsa ujjait távol az éles pengétől, és csak a markolatnál fogva használja.
* Mozgatás közben mindig tartsa a pengét lefelé.
* Soha ne hagyja, hogy az asztal vagy a munkalap szélére kilógjon.
* Mindig jól látható helyen tárolja, például falimágnesen, dobozban, különleges tokban, és ne a mosogatóban vagy más tárgyak alatt.
* Mindig tartsa távol a gyermekektől.
Fedezze fel, mennyire egyszerűvé és kényelmessé válhat a konyhai előkészületek a Nava Misty multifunkcionális olló segítségével!</t>
        </is>
      </c>
    </row>
    <row r="515">
      <c r="A515" s="3" t="inlineStr">
        <is>
          <t>10-111-050</t>
        </is>
      </c>
      <c r="B515" s="2" t="inlineStr">
        <is>
          <t>Nava 10-111-050 Misty szilikon jégkockakészítő, 15 kocka elkészítéséhez</t>
        </is>
      </c>
      <c r="C515" s="1" t="n">
        <v>2090.0</v>
      </c>
      <c r="D515" s="7" t="n">
        <f>HYPERLINK("https://www.somogyi.hu/product/nava-10-111-050-misty-szilikon-jegkockakeszito-15-kocka-elkeszitesehez-10-111-050-18662","https://www.somogyi.hu/product/nava-10-111-050-misty-szilikon-jegkockakeszito-15-kocka-elkeszitesehez-10-111-050-18662")</f>
        <v>0.0</v>
      </c>
      <c r="E515" s="7" t="n">
        <f>HYPERLINK("https://www.somogyi.hu/data/img/product_main_images/small/18662.jpg","https://www.somogyi.hu/data/img/product_main_images/small/18662.jpg")</f>
        <v>0.0</v>
      </c>
      <c r="F515" s="2" t="inlineStr">
        <is>
          <t>5205746889314</t>
        </is>
      </c>
      <c r="G515" s="4" t="inlineStr">
        <is>
          <t>Szeretne könnyedén tökéletes jégkockákat készíteni otthonában? A Nava 10-111-050 Misty szilikon jégkockakészítővel mostantól egyszerűen elkészítheti a tökéletes méretű jégkockákat, amelyekkel frissítheti italait.
Ez a 15 cellás jégkockatálca tartós szilikonból készült, ami garantálja a hosszú élettartamot és az egyszerű használatot. A magas minőségű, lágy, rugalmas szilikon anyaga élelmiszerekkel való érintkezésre is alkalmas, így biztonságosan használható. A cellák mérete 3.2x3.2 cm, kapacitás: 25 ml, ami ideális méret a tökéletes jégkockákhoz.
A Misty konyhai eszközök sorozata a konyha és főzés szerelmeseinek lett tervezve, ahol a funkcionalitás és innováció elveit követve minden elképzelhető eszközt megtalálhat, amire csak szüksége lehet a modern konyhában. A Misty termékcsalád kiváló minőségű, hőálló anyagokból készült, megfelelve az élelmiszerekkel való érintkezésre vonatkozó szabályozásoknak, így biztosítva a konyhája számára a teljes mértékben egészséges és biztonságos választást.A termék mosogatógépben is tisztítható, így nem csak a használata, de a tisztán tartása is rendkívül egyszerű. 
Néhány tipp, hogy sokáig használhassa a terméket:
* Használat előtt mosogassa el meleg, szappanos vízzel és puha szivaccsal. 
* Használat után mosogassa el és szárítsa meg alaposan. 
* Ne használjon fém dörzsölőket, drótot vagy erős tisztítószereket.
Készítsen tökéletes jégkockákat a Nava Misty szilikon jégkockakészítővel, és tegye italait még frissítőbbé!</t>
        </is>
      </c>
    </row>
    <row r="516">
      <c r="A516" s="3" t="inlineStr">
        <is>
          <t>10-111-006</t>
        </is>
      </c>
      <c r="B516" s="2" t="inlineStr">
        <is>
          <t>Nava 10-111-006 Misty szűrőkanál, 35 cm</t>
        </is>
      </c>
      <c r="C516" s="1" t="n">
        <v>1550.0</v>
      </c>
      <c r="D516" s="7" t="n">
        <f>HYPERLINK("https://www.somogyi.hu/product/nava-10-111-006-misty-szurokanal-35-cm-10-111-006-18643","https://www.somogyi.hu/product/nava-10-111-006-misty-szurokanal-35-cm-10-111-006-18643")</f>
        <v>0.0</v>
      </c>
      <c r="E516" s="7" t="n">
        <f>HYPERLINK("https://www.somogyi.hu/data/img/product_main_images/small/18643.jpg","https://www.somogyi.hu/data/img/product_main_images/small/18643.jpg")</f>
        <v>0.0</v>
      </c>
      <c r="F516" s="2" t="inlineStr">
        <is>
          <t>5205746889048</t>
        </is>
      </c>
      <c r="G516" s="4" t="inlineStr">
        <is>
          <t>Egy univerzális megoldást keres a főzés közben keletkező hab eltávolítására, vagy étel kiszedésére? A Nava Misty 10-111-006 széles szűrőkanál gyorsan és hatékonyan válik elválaszthatatlan segítőtársává a konyhában. Legyen szó hab eltávolításáról főzés vagy házi lekvárkészítés során, vagy éppen étel kiszedéséről forró olajból vagy vízből, ez a szűrőkanál tökéletes választás.
A Misty szűrőkanalat (hossza 35 cm) kiváló minőségű nylon anyagból gyártja a NAVA, amely élelmiszerrel érintkezve is biztonságos, és akár 200°C-os hőmérsékletnek is ellenáll. Ergonomikus, csúszásmentes, puha tapintású fogantyúja kényelmes és biztonságos használatot tesz lehetővé, míg a fogantyú végén lévő praktikus lyuk lehetővé teszi, hogy könnyedén felakaszthassa. 
A Misty konyhai eszközök sorozata a konyha és a főzés szerelmeseinek készült. Ebben a sorozatban minden megtalálható, amire csak szüksége lehet a konyhában, a legegyszerűbb eszközöktől a legkülönlegesebb kiegészítőkig. A modern konyhai eszközök tervezésén alapuló sorozat a funkcionalitást és az innovációt helyezi előtérbe, hogy különböző módon szolgálja a modern konyha sokféle igényét. Az anyagok kiváló minősége hosszabb élettartamot biztosít az eszközöknek és ellenállóvá teszi őket a hővel szemben.
A Misty sorozat termékei magas hőmérsékletnek ellenálló anyagokból készülnek, az élelmiszerrel érintkező termékekre vonatkozó szabályoknak megfelelően, így egészséges és biztonságos választás a konyhájába. Mosogatógépben is tisztítható, rozsdamentes acél és tapadásmentes edényekhez is használható, mivel nem karcolja vagy károsítja a tapadásmentes bevonatot.
Néhány tipp, hogy sokáig használhassa a terméket:
* Az első használat előtt mosogassa el a terméket meleg szappanos vízzel és puha szivaccsal
* Minden használat után mosogassa és szárítsa meg alaposan egy száraz ruhával
* Kerülje a fém súrolószivacsok, drótok vagy erős tisztítószerek használatát 
* Ne hagyja a terméket a serpenyőben vagy fazékban főzés közben 
* Ne használja a terméket 200°C-nál magasabb hőmérsékleten 
Fedezze fel, mennyivel egyszerűbbé válik a főzés és a tálalás a Nava Misty szűrőkanállal!</t>
        </is>
      </c>
    </row>
    <row r="517">
      <c r="A517" s="3" t="inlineStr">
        <is>
          <t>10-107-001</t>
        </is>
      </c>
      <c r="B517" s="2" t="inlineStr">
        <is>
          <t>Nava 10-107-001 Terrestrial bambusz vágódeszka, 40x25,5 cm</t>
        </is>
      </c>
      <c r="C517" s="1" t="n">
        <v>3190.0</v>
      </c>
      <c r="D517" s="7" t="n">
        <f>HYPERLINK("https://www.somogyi.hu/product/nava-10-107-001-terrestrial-bambusz-vagodeszka-40x25-5-cm-10-107-001-18666","https://www.somogyi.hu/product/nava-10-107-001-terrestrial-bambusz-vagodeszka-40x25-5-cm-10-107-001-18666")</f>
        <v>0.0</v>
      </c>
      <c r="E517" s="7" t="n">
        <f>HYPERLINK("https://www.somogyi.hu/data/img/product_main_images/small/18666.jpg","https://www.somogyi.hu/data/img/product_main_images/small/18666.jpg")</f>
        <v>0.0</v>
      </c>
      <c r="F517" s="2" t="inlineStr">
        <is>
          <t>5205746888157</t>
        </is>
      </c>
      <c r="G517" s="4" t="inlineStr">
        <is>
          <t>Egy multifunkcionális konyhai eszközt keres, ami nem csak praktikus, de a konyhája díszévé is válhat? A Nava 10-107-001 Terrestrial bambusz vágódeszka nemcsak megkönnyíti a mindennapi előkészületeket a konyhában, de különleges alkalmakkor elegáns tálalódeszkaként is funkcionálhat. 
A 100%-ban környezetbarát, élelmiszerrel érintkezésre alkalmas magas minőségű bambuszból készült vágódeszka ergonomikus tervezésű, beleértve a praktikus oldalsó fogantyút is, amely megkönnyíti az akasztást és tárolást. A Terrestrial konyhai eszközökkel a minimalista, földközeli esztétika kedvelői is megtalálhatják a számításaikat. A modern konyhai igényeket szem előtt tartó funkcionalitás és egyszerűség jegyében készült ez a sorozat, amely minden ételkészítési és tálalási szükségletet kielégít.
Néhány tipp, hogy sokáig használhassa a terméket:
* Az első használat előtt alaposan mossa el langyos, szappanos vízzel, majd szárítsa meg.
* Minden használat után tisztítsa meg és szárítsa meg alaposan.
* Kerülje a fémszivacsok és erős tisztítószerek használatát.
* Különböző ételekhez használjon külön vágódeszkákat a keresztszennyeződés elkerülése végett.
* A magas hőmérséklet, víz és páratartalom repedéseket okozhat.
* Ne áztassa vízben a terméket.
* A hosszabb élettartam érdekében kezelje a felületét főzőolajjal használat előtt, és kézzel mosogassa langyos, enyhe szappanos vízzel minden használat után.
* Csak teljesen száraz állapotban tárolja.
* Ha érdességet vagy lepattogzást észlel, simítsa le finom csiszolópapírral, majd olajozza be.
A Nava Terrestrial bambusz vágódeszka tökéletes választás azok számára, akik értékelik a természetes anyagokat, a funkcionalitást és a stílust a konyhában.</t>
        </is>
      </c>
    </row>
    <row r="518">
      <c r="A518" s="3" t="inlineStr">
        <is>
          <t>10-100-003</t>
        </is>
      </c>
      <c r="B518" s="2" t="inlineStr">
        <is>
          <t>Nava 10-100-003 Acer tortapiskóta szeletelő, rozsdamentes acél, 16 cm</t>
        </is>
      </c>
      <c r="C518" s="1" t="n">
        <v>1150.0</v>
      </c>
      <c r="D518" s="7" t="n">
        <f>HYPERLINK("https://www.somogyi.hu/product/nava-10-100-003-acer-tortapiskota-szeletelo-rozsdamentes-acel-16-cm-10-100-003-18679","https://www.somogyi.hu/product/nava-10-100-003-acer-tortapiskota-szeletelo-rozsdamentes-acel-16-cm-10-100-003-18679")</f>
        <v>0.0</v>
      </c>
      <c r="E518" s="7" t="n">
        <f>HYPERLINK("https://www.somogyi.hu/data/img/product_main_images/small/18679.jpg","https://www.somogyi.hu/data/img/product_main_images/small/18679.jpg")</f>
        <v>0.0</v>
      </c>
      <c r="F518" s="2" t="inlineStr">
        <is>
          <t>5205746001075</t>
        </is>
      </c>
      <c r="G518" s="4" t="inlineStr">
        <is>
          <t>Szeretné tökéletesen szeletelni a tortapiskótáját, mint egy profi cukrász? A Nava 10-100-003 Acer tortapiskóta szeletelővel könnyedén és pontosan szeletelheti tortapiskótáját a kívánt vastagságú és átmérőjű szeletekre, így a legfantáziadúsabb tortákat készítheti el, melyeket egy profi cukrász is megirigyelne.
Ez a tortaszeletelő rozsdamentes acélból készült, ami biztosítja a tartósságot és a könnyű tisztíthatóságot. Az állítható átmérője 16 cm-től 20 cm-ig terjed, így különböző méretű tortákhoz is ideális. A szeletelő 6 nyílással rendelkezik, amelyek segítségével kiválaszthatja a piskótaszeletek vastagságát, és akár 7 egyenletes szeletet vághat.
A használata biztonságos és egyszerű: helyezze a 7 rétegű szeletelőt a lehűlt tortapiskótára, és válassza ki a kívánt szeletvastagságot. Helyezze a kést a megfelelő nyílásba, és vágja át a piskótát. Fordítsa el a szeletelőt 180°-kal, és ismételje meg a vágást. Így egyforma vastagságú szeleteket kap, amelyek tökéletesek lesznek a desszerthez. A termék mosogatógépben is tisztítható, így a tisztítása gyors és egyszerű.
Az Acer sorozatról
Az Acer sorozat a konyha és az esztétika szerelmeseinek készült. Egyszerű vonalvezetésének köszönhetően modern és elegáns megjelenést biztosít a konyhában. Az Acer sorozat eszközei 18/8 rozsdamentes acélból készülnek, amely ellenáll a magas hőmérsékletnek és hosszabb élettartamot garantál. Az európai élelmiszerrel érintkező termékekre vonatkozó előírásoknak megfelelően készültek, így teljesen egészséges és biztonságos választás a konyhában.
Ne habozzon, válassza a Nava 10-100-003 Acer tortapiskóta szeletelőt, és készítsen olyan tökéletes tortákat, amelyek mindenkit lenyűgöznek!</t>
        </is>
      </c>
    </row>
    <row r="519">
      <c r="A519" s="3" t="inlineStr">
        <is>
          <t>10-111-075</t>
        </is>
      </c>
      <c r="B519" s="2" t="inlineStr">
        <is>
          <t>Nava 10-111-075 Misty tölthető szilikon ecset, 11,5 cm</t>
        </is>
      </c>
      <c r="C519" s="1" t="n">
        <v>1650.0</v>
      </c>
      <c r="D519" s="7" t="n">
        <f>HYPERLINK("https://www.somogyi.hu/product/nava-10-111-075-misty-toltheto-szilikon-ecset-11-5-cm-10-111-075-18663","https://www.somogyi.hu/product/nava-10-111-075-misty-toltheto-szilikon-ecset-11-5-cm-10-111-075-18663")</f>
        <v>0.0</v>
      </c>
      <c r="E519" s="7" t="n">
        <f>HYPERLINK("https://www.somogyi.hu/data/img/product_main_images/small/18663.jpg","https://www.somogyi.hu/data/img/product_main_images/small/18663.jpg")</f>
        <v>0.0</v>
      </c>
      <c r="F519" s="2" t="inlineStr">
        <is>
          <t>5205746906349</t>
        </is>
      </c>
      <c r="G519" s="4" t="inlineStr">
        <is>
          <t>Keresi a tökéletes megoldást az ételek egyszerű és tiszta olajozására? A Nava által kínált 10-111-075 Misty tölthető szilikon ecset az innovatív konyhai eszköz, amely megkönnyíti a sütési és sütési folyamatokat. 
Ez az ecset levehető olajtartállyal rendelkezik, ami lehetővé teszi, hogy az edényeket, grilleket vagy ételeket rendkívül tisztán és egyszerűen kenje meg olajjal, anélkül, hogy további eszközöket kellene használnia. Kiváló minőségű, puha szilikonból készült, amely élelmiszerekkel való érintkezésre alkalmas. Könnyen tisztítható, az ecset feje levehető, és a tartály rendkívül rugalmas szilikonjának köszönhetően könnyen összehajtható és elfordítható. Rozsdamentes acél edényekhez ugyanúgy megfelel, mint a tapadásmentes bevonatú főzőedényekhez, mivel nem karcolja vagy károsítja a bevonatot.
A Misty konyhai eszközök sorozata a konyha és főzés szerelmeseinek lett tervezve, ahol a funkcionalitás és innováció elveit követve minden elképzelhető eszközt megtalálhat, amire csak szüksége lehet a modern konyhában. A Misty termékcsalád kiváló minőségű, hőálló anyagokból készült, megfelelve az élelmiszerekkel való érintkezésre vonatkozó szabályozásoknak, így biztosítva a konyhája számára a teljes mértékben egészséges és biztonságos választást. A termék mosogatógépben is tisztítható, így nem csak a használata, de a tisztán tartása is rendkívül egyszerű. 
Néhány tipp, hogy sokáig használhassa a terméket:
* Használat előtt mosogassa el meleg, szappanos vízzel és puha szivaccsal. 
* Használat után mosogassa el és szárítsa meg alaposan. 
* Ne használjon fém dörzsölőket, drótot vagy erős tisztítószereket.
Fedezze fel, mennyire egyszerűvé válik az olajozás a Nava Misty tölthető szilikon ecsettel!</t>
        </is>
      </c>
    </row>
    <row r="520">
      <c r="A520" s="3" t="inlineStr">
        <is>
          <t>10-111-024</t>
        </is>
      </c>
      <c r="B520" s="2" t="inlineStr">
        <is>
          <t>Nava 10-111-024 Misty fokhagymanyomó, 20,5 cm</t>
        </is>
      </c>
      <c r="C520" s="1" t="n">
        <v>2790.0</v>
      </c>
      <c r="D520" s="7" t="n">
        <f>HYPERLINK("https://www.somogyi.hu/product/nava-10-111-024-misty-fokhagymanyomo-20-5-cm-10-111-024-18654","https://www.somogyi.hu/product/nava-10-111-024-misty-fokhagymanyomo-20-5-cm-10-111-024-18654")</f>
        <v>0.0</v>
      </c>
      <c r="E520" s="7" t="n">
        <f>HYPERLINK("https://www.somogyi.hu/data/img/product_main_images/small/18654.jpg","https://www.somogyi.hu/data/img/product_main_images/small/18654.jpg")</f>
        <v>0.0</v>
      </c>
      <c r="F520" s="2" t="inlineStr">
        <is>
          <t>5205746889246</t>
        </is>
      </c>
      <c r="G520" s="4" t="inlineStr">
        <is>
          <t>Gondolkodott már azon, hogy milyen lenne a fokhagyma préselése anélkül, hogy utána órákon át érezné a szagát a kezén? A Nava 10-111-024 Misty fokhagymanyomóval mostantól könnyedén megvalósíthatja ezt az álmot.
Rozsdamentes acélból készült, élelmiszerrel érintkezésre alkalmas, ergonómikus, csúszásmentes, puha tapintású markolattal a stabil és biztonságos kezelés érdekében. A markolat egyik végén található biztonsági fedél védi az ujjakat a vágókeréktől, a másik végén lévő praktikus lyuk pedig lehetővé teszi, hogy könnyen felakaszthassa.
A Misty konyhai eszközök a konyha és főzés szerelmeseinek készült. Ebben a sorozatban mindent megtalál, amit csak el tud képzelni a konyhájához, a legegyszerűbb eszközöktől a legkülönlegesebb kiegészítőkig. A modern konyhai eszközök tervezési elveit követve a Misty sorozat funkcionalitást és innovációt hoz a modern konyha számos igényének kiszolgálására. Az anyagok kiváló minősége hosszabb élettartamot és hőállóságot garantál az eszközöknek.
A Misty sorozat termékei magas hőmérsékletnek ellenálló anyagokból készülnek, megfelelnek az élelmiszerrel érintkező termékekre vonatkozó szabályozásoknak, így egészséges és biztonságos választás a konyhájába. Mosogatógépben mosható.
Néhány tipp, hogy sokáig használhassa a terméket:
* Használat előtt mosogassa el meleg, szappanos vízzel és puha szivaccsal. 
* Használat után mosogassa el és szárítsa meg alaposan. 
* Ne használjon fém dörzsölőket, drótot vagy erős tisztítószereket.
Válassza a Misty fokhagymanyomót a kényelmes, biztonságos és stílusos konyhai munkához.</t>
        </is>
      </c>
    </row>
    <row r="521">
      <c r="A521" s="3" t="inlineStr">
        <is>
          <t>10-111-025</t>
        </is>
      </c>
      <c r="B521" s="2" t="inlineStr">
        <is>
          <t>Nava 10-111-025 Misty konzerv- és üvegnyitó, 22 cm</t>
        </is>
      </c>
      <c r="C521" s="1" t="n">
        <v>2790.0</v>
      </c>
      <c r="D521" s="7" t="n">
        <f>HYPERLINK("https://www.somogyi.hu/product/nava-10-111-025-misty-konzerv-es-uvegnyito-22-cm-10-111-025-18655","https://www.somogyi.hu/product/nava-10-111-025-misty-konzerv-es-uvegnyito-22-cm-10-111-025-18655")</f>
        <v>0.0</v>
      </c>
      <c r="E521" s="7" t="n">
        <f>HYPERLINK("https://www.somogyi.hu/data/img/product_main_images/small/18655.jpg","https://www.somogyi.hu/data/img/product_main_images/small/18655.jpg")</f>
        <v>0.0</v>
      </c>
      <c r="F521" s="2" t="inlineStr">
        <is>
          <t>5205746889406</t>
        </is>
      </c>
      <c r="G521" s="4" t="inlineStr">
        <is>
          <t>Sokat bajlódik konzervek és üvegek kinyitásával? A Nava 10-111-025 Misty konzerv- és üvegnyitó mostantól a segítségére lesz!
Nyissa ki a fémdobozokat egyszerűen és gyorsan a praktikus NAVA Misty konzervnyitóval. Simán vág, nem hagy éles széleket, megelőzve a sérülések kockázatát.
Rozsdamentes acélból készült, élelmiszerrel érintkezésre alkalmas, ergonómikus, csúszásmentes, puha tapintású markolattal a stabil és biztonságos kezelés érdekében. A markolat egyik végén található biztonsági fedél védi az ujjakat a vágókeréktől, a másik végén lévő praktikus lyuk pedig lehetővé teszi, hogy könnyen felakaszthassa.
A Misty konyhai eszközök a konyha és főzés szerelmeseinek készült. Ebben a sorozatban mindent megtalál, amit csak el tud képzelni a konyhájához, a legegyszerűbb eszközöktől a legkülönlegesebb kiegészítőkig. A modern konyhai eszközök tervezési elveit követve a Misty sorozat funkcionalitást és innovációt hoz a modern konyha számos igényének kiszolgálására. Az anyagok kiváló minősége hosszabb élettartamot és hőállóságot garantál az eszközöknek.
A Misty sorozat termékei magas hőmérsékletnek ellenálló anyagokból készülnek, megfelelnek az élelmiszerrel érintkező termékekre vonatkozó szabályozásoknak, így egészséges és biztonságos választás a konyhájába. Mosogatógépben mosható.
Néhány tipp, hogy sokáig használhassa a terméket:
* Használat előtt mosogassa el meleg, szappanos vízzel és puha szivaccsal. 
* Használat után mosogassa el és szárítsa meg alaposan. 
* Ne használjon fém dörzsölőket, drótot vagy erős tisztítószereket.
Válassza a Misty konzerv- és üvegnyitót a kényelmes, biztonságos és stílusos konyhai munkához.</t>
        </is>
      </c>
    </row>
    <row r="522">
      <c r="A522" s="3" t="inlineStr">
        <is>
          <t>10-111-081</t>
        </is>
      </c>
      <c r="B522" s="2" t="inlineStr">
        <is>
          <t>NAVA 10-111-081 Imperial szilikon sütőkesztyű</t>
        </is>
      </c>
      <c r="C522" s="1" t="n">
        <v>4090.0</v>
      </c>
      <c r="D522" s="7" t="n">
        <f>HYPERLINK("https://www.somogyi.hu/product/nava-10-111-081-imperial-szilikon-sutokesztyu-10-111-081-18361","https://www.somogyi.hu/product/nava-10-111-081-imperial-szilikon-sutokesztyu-10-111-081-18361")</f>
        <v>0.0</v>
      </c>
      <c r="E522" s="7" t="n">
        <f>HYPERLINK("https://www.somogyi.hu/data/img/product_main_images/small/18361.jpg","https://www.somogyi.hu/data/img/product_main_images/small/18361.jpg")</f>
        <v>0.0</v>
      </c>
      <c r="F522" s="2" t="inlineStr">
        <is>
          <t>5205746117936</t>
        </is>
      </c>
      <c r="G522" s="4" t="inlineStr">
        <is>
          <t>Hogyan óvhatja meg kezeit, miközben forró edényekkel dolgozik konyhájában? A NAVA Imperial 10-111-081 szilikon sütőkesztyű a megfelelő választás forró tárgyak kezeléséhez. 
Ez a kiváló minőségű szilikon sütőkesztyű stabil fogást biztosít a csúszásmentes, dombornyomott felületével, miközben kívül a puha és rugalmas szilikon a magas hőmérsékleteknek is ellenáll, belül pedig a szövet borítás extra kényelmet nyújt. A NAVA Imperial 10-111-081 sütőkesztyű könnyedén karbantartható; egyszerűen tisztítható a mosogatógépben, és a praktikus akasztóval az oldalán helytakarékosan tárolható. Legyen szó sütésről, főzésről vagy grillezésről, ez a sütőkesztyű megbízható társa lesz a konyhai kalandokban. A hosszú élettartam érdekében csak puha szivaccsal és szappanos vízzel tisztítsa az első használat előtt, és kerülje a fémszivacsot, drótot vagy az erős tisztítószereket a karbantartás során.
Fedezze fel a biztonság és kényelem új szintjét a NAVA Imperial 10-111-081 szilikon sütőkesztyűvel! Kezdje el ma a kényelmes és biztonságos sütést-főzést, és élvezze a konyhai munka minden pillanatát az új sütőkesztyűjével.</t>
        </is>
      </c>
    </row>
    <row r="523">
      <c r="A523" s="3" t="inlineStr">
        <is>
          <t>10-111-041</t>
        </is>
      </c>
      <c r="B523" s="2" t="inlineStr">
        <is>
          <t>Nava 10-111-041 Misty hőálló szilikon sütőkesztyű, 30 cm</t>
        </is>
      </c>
      <c r="C523" s="1" t="n">
        <v>4090.0</v>
      </c>
      <c r="D523" s="7" t="n">
        <f>HYPERLINK("https://www.somogyi.hu/product/nava-10-111-041-misty-hoallo-szilikon-sutokesztyu-30-cm-10-111-041-18660","https://www.somogyi.hu/product/nava-10-111-041-misty-hoallo-szilikon-sutokesztyu-30-cm-10-111-041-18660")</f>
        <v>0.0</v>
      </c>
      <c r="E523" s="7" t="n">
        <f>HYPERLINK("https://www.somogyi.hu/data/img/product_main_images/small/18660.jpg","https://www.somogyi.hu/data/img/product_main_images/small/18660.jpg")</f>
        <v>0.0</v>
      </c>
      <c r="F523" s="2" t="inlineStr">
        <is>
          <t>5205746889352</t>
        </is>
      </c>
      <c r="G523" s="4" t="inlineStr">
        <is>
          <t>Szeretné biztonságosan és kényelmesen kezelni a forró edényeket? A Nava 10-111-041 Misty hőálló szilikon sütőkesztyűvel mostantól magabiztosan veheti kézbe a meleg serpenyőket és lábasokat. 
Ez a különleges eszköz kiemelkedik rugalmas, tartós, magas minőségű szilikon anyagának köszönhetően, amely élelmiszerekkel való érintkezésre is megfelelő és ellenáll a magas hőmérsékletnek. Rugalmas szilikonból készült sütőkesztyű különleges, kiemelkedett, csúszásmentes felülettel rendelkezik, amely stabil és kényelmes fogást biztosít.
A belső része szövettel bélelt, így még nagyobb kényelmet nyújt használat közben. A kesztyűn található praktikus hurok lehetővé teszi, hogy könnyedén felakaszthassa, amikor éppen nem használja, így mindig kéznél lesz, amikor szüksége van rá.
A Misty konyhai eszközök sorozata a konyha és főzés szerelmeseinek lett tervezve, ahol a funkcionalitás és innováció elveit követve minden elképzelhető eszközt megtalálhat, amire csak szüksége lehet a modern konyhában. A Misty termékcsalád kiváló minőségű, hőálló anyagokból készült, megfelelve az élelmiszerekkel való érintkezésre vonatkozó szabályozásoknak, így biztosítva a konyhája számára a teljes mértékben egészséges és biztonságos választást.A termék mosogatógépben is tisztítható, így nem csak a használata, de a tisztán tartása is rendkívül egyszerű. 
Néhány tipp, hogy sokáig használhassa a terméket:
* Használat előtt mosogassa el meleg, szappanos vízzel és puha szivaccsal. 
* Használat után mosogassa el és szárítsa meg alaposan. 
* Ne használjon fém dörzsölőket, drótot vagy erős tisztítószereket.
Fedezze fel, mennyire egyszerűvé és biztonságossá teheti a sütés-főzést a Nava Misty szilikon sütőkesztyűvel!</t>
        </is>
      </c>
    </row>
    <row r="524">
      <c r="A524" s="3" t="inlineStr">
        <is>
          <t>10-111-099</t>
        </is>
      </c>
      <c r="B524" s="2" t="inlineStr">
        <is>
          <t>Nava 10-111-099 Misty habzsák, 9 cserélhető fej, 0,5 literes kapacitás</t>
        </is>
      </c>
      <c r="C524" s="1" t="n">
        <v>1550.0</v>
      </c>
      <c r="D524" s="7" t="n">
        <f>HYPERLINK("https://www.somogyi.hu/product/nava-10-111-099-misty-habzsak-9-cserelheto-fej-0-5-literes-kapacitas-10-111-099-18664","https://www.somogyi.hu/product/nava-10-111-099-misty-habzsak-9-cserelheto-fej-0-5-literes-kapacitas-10-111-099-18664")</f>
        <v>0.0</v>
      </c>
      <c r="E524" s="7" t="n">
        <f>HYPERLINK("https://www.somogyi.hu/data/img/product_main_images/small/18664.jpg","https://www.somogyi.hu/data/img/product_main_images/small/18664.jpg")</f>
        <v>0.0</v>
      </c>
      <c r="F524" s="2" t="inlineStr">
        <is>
          <t>5205746129878</t>
        </is>
      </c>
      <c r="G524" s="4" t="inlineStr">
        <is>
          <t>Szeretné varázslatos desszertekkel lenyűgözni a gyerekeket és a felnőtteket egyaránt? A Nava 10-111-099 Misty habzsák készlettel most könnyedén és gyorsan díszítheti tortáit és édességeit. 
Válasszon a kilenc különböző díszítőcsúcs közül, vagy akár kombinálja őket, hogy egyedi mintákat hozzon létre.
A készlet magában foglal egy újrafelhasználható 500ml-es habzsákot, kilenc díszítőcsúcsot, egy csatlakozót és egy csipeszt a hab frissen és biztonságosan való tárolása érdekében a hűtőszekrényben, anélkül, hogy szivárgás történne. Az habzsák kiváló anyagból készült, élelmiszerrel való érintkezésre alkalmasak.
A Misty konyhai eszközök sorozata a konyha és főzés szerelmeseinek lett tervezve, ahol a funkcionalitás és innováció elveit követve minden elképzelhető eszközt megtalálhat, amire csak szüksége lehet a modern konyhában. A Misty termékcsalád kiváló minőségű, hőálló anyagokból készült, megfelelve az élelmiszerekkel való érintkezésre vonatkozó szabályozásoknak, így biztosítva a konyhája számára a teljes mértékben egészséges és biztonságos választást. A termék mosogatógépben is tisztítható, így nem csak a használata, de a tisztán tartása is rendkívül egyszerű. 
Néhány tipp, hogy sokáig használhassa a terméket:
* Használat előtt mosogassa el meleg, szappanos vízzel és puha szivaccsal. 
* Használat után mosogassa el és szárítsa meg alaposan. 
* Ne használjon fém dörzsölőket, drótot vagy erős tisztítószereket.
Fedezze fel, milyen könnyű profi szintű díszítéseket létrehozni a Nava Misty habzsák segítségével!</t>
        </is>
      </c>
    </row>
    <row r="525">
      <c r="A525" s="3" t="inlineStr">
        <is>
          <t>10-111-012</t>
        </is>
      </c>
      <c r="B525" s="2" t="inlineStr">
        <is>
          <t>Nava 10-111-012 Misty tésztakiszedő kanál, fusilli, 35 cm</t>
        </is>
      </c>
      <c r="C525" s="1" t="n">
        <v>2090.0</v>
      </c>
      <c r="D525" s="7" t="n">
        <f>HYPERLINK("https://www.somogyi.hu/product/nava-10-111-012-misty-tesztakiszedo-kanal-fusilli-35-cm-10-111-012-18647","https://www.somogyi.hu/product/nava-10-111-012-misty-tesztakiszedo-kanal-fusilli-35-cm-10-111-012-18647")</f>
        <v>0.0</v>
      </c>
      <c r="E525" s="7" t="n">
        <f>HYPERLINK("https://www.somogyi.hu/data/img/product_main_images/small/18647.jpg","https://www.somogyi.hu/data/img/product_main_images/small/18647.jpg")</f>
        <v>0.0</v>
      </c>
      <c r="F525" s="2" t="inlineStr">
        <is>
          <t>5205746889185</t>
        </is>
      </c>
      <c r="G525" s="4" t="inlineStr">
        <is>
          <t>Egy egyszerű módját keresi a tészta és zöldségek gyors és könnyű szervírozására forró vízből közvetlenül a tányérra? A Nava 10-111-012 Misty tésztakiszedő kanál az Ön tökéletes segítője lesz a konyhában.
A Nava Misty tésztakiszedő kanál ideális eszköz a tészta, zöldségek és egyéb forró vízben főzött ételek lecsöpögtetésére és tálalására, közvetlenül a fazékból a tányérra, minden további konyhai eszköz nélkül. Emellett lehetővé teszi a főzővíz azonnali újrahasznosítását más célokra. Nagy kapacitásának köszönhetően egyetlen mozdulattal elegendő mennyiségű ételt tud átmozgatni.
A Misty tésztakiszedő kanalat (hossza 35 cm) kiváló minőségű nylon anyagból gyártja a NAVA, amely élelmiszerrel érintkezve is biztonságos, és akár 200°C-os hőmérsékletnek is ellenáll. Ergonomikus, csúszásmentes, puha tapintású fogantyúja kényelmes és biztonságos használatot tesz lehetővé, míg a fogantyú végén lévő praktikus lyuk lehetővé teszi, hogy könnyedén felakaszthassa. 
A Misty konyhai eszközök sorozata a konyha és a főzés szerelmeseinek készült. Ebben a sorozatban minden megtalálható, amire csak szüksége lehet a konyhában, a legegyszerűbb eszközöktől a legkülönlegesebb kiegészítőkig. A modern konyhai eszközök tervezésén alapuló sorozat a funkcionalitást és az innovációt helyezi előtérbe, hogy különböző módon szolgálja a modern konyha sokféle igényét. Az anyagok kiváló minősége hosszabb élettartamot biztosít az eszközöknek és ellenállóvá teszi őket a hővel szemben.
A Misty sorozat termékei magas hőmérsékletnek ellenálló anyagokból készülnek, az élelmiszerrel érintkező termékekre vonatkozó szabályoknak megfelelően, így egészséges és biztonságos választás a konyhájába. Mosogatógépben is tisztítható, rozsdamentes acél és tapadásmentes edényekhez is használható, mivel nem karcolja vagy károsítja a tapadásmentes bevonatot.
Néhány tipp, hogy sokáig használhassa a terméket:
* Az első használat előtt mosogassa el a terméket meleg szappanos vízzel és puha szivaccsal
* Minden használat után mosogassa és szárítsa meg alaposan egy száraz ruhával
* Kerülje a fém súrolószivacsok, drótok vagy erős tisztítószerek használatát 
* Ne hagyja a terméket a serpenyőben vagy fazékban főzés közben 
* Ne használja a terméket 200°C-nál magasabb hőmérsékleten 
Felejtse el a bonyolult tészta lecsöpögtetési módszereket és válassza a Nava Misty tésztakiszedő kanalat a hatékony és stílusos konyhai megoldásért.</t>
        </is>
      </c>
    </row>
    <row r="526">
      <c r="A526" s="3" t="inlineStr">
        <is>
          <t>10-111-005</t>
        </is>
      </c>
      <c r="B526" s="2" t="inlineStr">
        <is>
          <t>Nava 10-111-005 Misty szűrős tálalókanál, 34 cm</t>
        </is>
      </c>
      <c r="C526" s="1" t="n">
        <v>1290.0</v>
      </c>
      <c r="D526" s="7" t="n">
        <f>HYPERLINK("https://www.somogyi.hu/product/nava-10-111-005-misty-szuros-talalokanal-34-cm-10-111-005-18641","https://www.somogyi.hu/product/nava-10-111-005-misty-szuros-talalokanal-34-cm-10-111-005-18641")</f>
        <v>0.0</v>
      </c>
      <c r="E526" s="7" t="n">
        <f>HYPERLINK("https://www.somogyi.hu/data/img/product_main_images/small/18641.jpg","https://www.somogyi.hu/data/img/product_main_images/small/18641.jpg")</f>
        <v>0.0</v>
      </c>
      <c r="F526" s="2" t="inlineStr">
        <is>
          <t>5205746889017</t>
        </is>
      </c>
      <c r="G526" s="4" t="inlineStr">
        <is>
          <t>Kíváncsi, hogyan teheti a főzési és tálalási folyamatot egyszerűbbé és praktikusabbá? A Nava 10-111-005 Misty tálalókanál az Ön új segítőtársa lesz a konyhában, amellyel keverhet, lecsöpögtethet és tálalhat.
A Misty tálalókanalat (hossza 34 cm) kiváló minőségű nylon anyagból gyártja a NAVA, amely élelmiszerrel érintkezve is biztonságos, és akár 200°C-os hőmérsékletnek is ellenáll. Ergonomikus, csúszásmentes, puha tapintású fogantyúja kényelmes és biztonságos használatot tesz lehetővé, míg a fogantyú végén lévő praktikus lyuk lehetővé teszi, hogy könnyedén felakaszthassa. A kanál felületében lévő nyílások lehetővé teszik az étel lecsöpögtetését.
A Misty konyhai eszközök sorozata a konyha és a főzés szerelmeseinek készült. Ebben a sorozatban minden megtalálható, amire csak szüksége lehet a konyhában, a legegyszerűbb eszközöktől a legkülönlegesebb kiegészítőkig. A modern konyhai eszközök tervezésén alapuló sorozat a funkcionalitást és az innovációt helyezi előtérbe, hogy különböző módon szolgálja a modern konyha sokféle igényét. Az anyagok kiváló minősége hosszabb élettartamot biztosít az eszközöknek és ellenállóvá teszi őket a hővel szemben.
A Misty sorozat termékei magas hőmérsékletnek ellenálló anyagokból készülnek, az élelmiszerrel érintkező termékekre vonatkozó szabályoknak megfelelően, így egészséges és biztonságos választás a konyhájába. Mosogatógépben is tisztítható, rozsdamentes acél és tapadásmentes edényekhez is használható, mivel nem karcolja vagy károsítja a tapadásmentes bevonatot.
Néhány tipp, hogy sokáig használhassa a terméket:
* Az első használat előtt mosogassa el a terméket meleg szappanos vízzel és puha szivaccsal
* Minden használat után mosogassa és szárítsa meg alaposan egy száraz ruhával
* Kerülje a fém súrolószivacsok, drótok vagy erős tisztítószerek használatát 
* Ne hagyja a terméket a serpenyőben vagy fazékban főzés közben 
* Ne használja a terméket 200°C-nál magasabb hőmérsékleten 
Fedezze fel, mennyivel egyszerűbbé válik a főzés és a tálalás a Nava Misty tálalókanállal!</t>
        </is>
      </c>
    </row>
    <row r="527">
      <c r="A527" s="3" t="inlineStr">
        <is>
          <t>10-111-003</t>
        </is>
      </c>
      <c r="B527" s="2" t="inlineStr">
        <is>
          <t>Nava 10-111-003 Misty húsvilla, 35 cm</t>
        </is>
      </c>
      <c r="C527" s="1" t="n">
        <v>1290.0</v>
      </c>
      <c r="D527" s="7" t="n">
        <f>HYPERLINK("https://www.somogyi.hu/product/nava-10-111-003-misty-husvilla-35-cm-10-111-003-18639","https://www.somogyi.hu/product/nava-10-111-003-misty-husvilla-35-cm-10-111-003-18639")</f>
        <v>0.0</v>
      </c>
      <c r="E527" s="7" t="n">
        <f>HYPERLINK("https://www.somogyi.hu/data/img/product_main_images/small/18639.jpg","https://www.somogyi.hu/data/img/product_main_images/small/18639.jpg")</f>
        <v>0.0</v>
      </c>
      <c r="F527" s="2" t="inlineStr">
        <is>
          <t>5205746889161</t>
        </is>
      </c>
      <c r="G527" s="4" t="inlineStr">
        <is>
          <t>Képzelje el, hogy milyen könnyű lenne a húsok sütése, ha lenne egy megbízható segítője a konyhában? A Nava 10-111-003 Misty húsvillával javíthatja a húsok elkészítésének teljes folyamatát.
A Misty húsvillát (hossza 35 cm) kiváló minőségű nylon anyagból gyártja a NAVA, amely élelmiszerrel érintkezve is biztonságos, és akár 200°C-os hőmérsékletnek is ellenáll. Ergonomikus, csúszásmentes, puha tapintású fogantyúja kényelmes és biztonságos használatot tesz lehetővé, míg a fogantyú végén lévő praktikus lyuk lehetővé teszi, hogy könnyedén felakaszthassa.
A Misty konyhai eszközök sorozata a konyha és a főzés szerelmeseinek készült. Ebben a sorozatban minden megtalálható, amire csak szüksége lehet a konyhában, a legegyszerűbb eszközöktől a legkülönlegesebb kiegészítőkig. A modern konyhai eszközök tervezésén alapuló sorozat a funkcionalitást és az innovációt helyezi előtérbe, hogy különböző módon szolgálja a modern konyha sokféle igényét. Az anyagok kiváló minősége hosszabb élettartamot biztosít az eszközöknek és ellenállóvá teszi őket a hővel szemben.
A Misty sorozat termékei magas hőmérsékletnek ellenálló anyagokból készülnek, az élelmiszerrel érintkező termékekre vonatkozó szabályoknak megfelelően, így egészséges és biztonságos választás a konyhájába. Mosogatógépben is tisztítható, rozsdamentes acél és tapadásmentes edényekhez is használható, mivel nem karcolja vagy károsítja a tapadásmentes bevonatot.
Néhány tipp, hogy sokáig használhassa a terméket:
* Az első használat előtt mosogassa el a terméket meleg szappanos vízzel és puha szivaccsal
* Minden használat után mosogassa és szárítsa meg alaposan egy száraz ruhával
* Kerülje a fém súrolószivacsok, drótok vagy erős tisztítószerek használatát 
* Ne hagyja a terméket a serpenyőben vagy fazékban főzés közben 
* Ne használja a terméket 200°C-nál magasabb hőmérsékleten 
Fedezze fel, mennyivel könnyebb és biztonságosabb a hússütés a Nava Misty húsvillájával!</t>
        </is>
      </c>
    </row>
    <row r="528">
      <c r="A528" s="3" t="inlineStr">
        <is>
          <t>10-111-004</t>
        </is>
      </c>
      <c r="B528" s="2" t="inlineStr">
        <is>
          <t>Nava 10-111-004 Misty tálaló lapát, 35 cm</t>
        </is>
      </c>
      <c r="C528" s="1" t="n">
        <v>1350.0</v>
      </c>
      <c r="D528" s="7" t="n">
        <f>HYPERLINK("https://www.somogyi.hu/product/nava-10-111-004-misty-talalo-lapat-35-cm-10-111-004-18640","https://www.somogyi.hu/product/nava-10-111-004-misty-talalo-lapat-35-cm-10-111-004-18640")</f>
        <v>0.0</v>
      </c>
      <c r="E528" s="7" t="n">
        <f>HYPERLINK("https://www.somogyi.hu/data/img/product_main_images/small/18640.jpg","https://www.somogyi.hu/data/img/product_main_images/small/18640.jpg")</f>
        <v>0.0</v>
      </c>
      <c r="F528" s="2" t="inlineStr">
        <is>
          <t>5205746889024</t>
        </is>
      </c>
      <c r="G528" s="4" t="inlineStr">
        <is>
          <t>Egy mindentudó segítőt a konyhába, ami minden fordulatra képes? A Nava 10-111-004 Misty tálaló lapátjával könnyedén keverhet, fordíthat és tálalhatja kedvenc ételeit!
A Misty tálaló lapátot (hossza 35 cm) kiváló minőségű nylon anyagból gyártja a NAVA, amely élelmiszerrel érintkezve is biztonságos, és akár 200°C-os hőmérsékletnek is ellenáll. Ergonomikus, csúszásmentes, puha tapintású fogantyúja kényelmes és biztonságos használatot tesz lehetővé, míg a fogantyú végén lévő praktikus lyuk lehetővé teszi, hogy könnyedén felakaszthassa.
A Misty konyhai eszközök sorozata a konyha és a főzés szerelmeseinek készült. Ebben a sorozatban minden megtalálható, amire csak szüksége lehet a konyhában, a legegyszerűbb eszközöktől a legkülönlegesebb kiegészítőkig. A modern konyhai eszközök tervezésén alapuló sorozat a funkcionalitást és az innovációt helyezi előtérbe, hogy különböző módon szolgálja a modern konyha sokféle igényét. Az anyagok kiváló minősége hosszabb élettartamot biztosít az eszközöknek és ellenállóvá teszi őket a hővel szemben.
A Misty sorozat termékei magas hőmérsékletnek ellenálló anyagokból készülnek, az élelmiszerrel érintkező termékekre vonatkozó szabályoknak megfelelően, így egészséges és biztonságos választás a konyhájába. Mosogatógépben is tisztítható, rozsdamentes acél és tapadásmentes edényekhez is használható, mivel nem karcolja vagy károsítja a tapadásmentes bevonatot.
Néhány tipp, hogy sokáig használhassa a terméket:
* Az első használat előtt mosogassa el a terméket meleg szappanos vízzel és puha szivaccsal
* Minden használat után mosogassa és szárítsa meg alaposan egy száraz ruhával
* Kerülje a fém súrolószivacsok, drótok vagy erős tisztítószerek használatát 
* Ne hagyja a terméket a serpenyőben vagy fazékban főzés közben 
* Ne használja a terméket 200°C-nál magasabb hőmérsékleten 
Fedezze fel a konyhai lehetőségeket a Nava Misty tálaló lapátjával, ami nem csak praktikus, hanem hosszú távon is megbízható társ lesz a konyhában.</t>
        </is>
      </c>
    </row>
    <row r="529">
      <c r="A529" s="3" t="inlineStr">
        <is>
          <t>10-234-011</t>
        </is>
      </c>
      <c r="B529" s="2" t="inlineStr">
        <is>
          <t>Nava Acer 10-234-011 tésztakészítő gép</t>
        </is>
      </c>
      <c r="C529" s="1" t="n">
        <v>9690.0</v>
      </c>
      <c r="D529" s="7" t="n">
        <f>HYPERLINK("https://www.somogyi.hu/product/nava-acer-10-234-011-tesztakeszito-gep-10-234-011-18669","https://www.somogyi.hu/product/nava-acer-10-234-011-tesztakeszito-gep-10-234-011-18669")</f>
        <v>0.0</v>
      </c>
      <c r="E529" s="7" t="n">
        <f>HYPERLINK("https://www.somogyi.hu/data/img/product_main_images/small/18669.jpg","https://www.somogyi.hu/data/img/product_main_images/small/18669.jpg")</f>
        <v>0.0</v>
      </c>
      <c r="F529" s="2" t="inlineStr">
        <is>
          <t>5205746159141</t>
        </is>
      </c>
      <c r="G529" s="4" t="inlineStr">
        <is>
          <t>Ön is a friss, otthon készült tészták szerelmese, amelyek tisztán természetes alapanyagokból készülnek? A Nava Acer 10-234-011 tésztakészítő gép, levehető vágófejjel, az ideális megoldás mindenki számára, aki szeretné saját kezűleg elkészíteni a friss tésztát. 
Ez a kiváló minőségű rozsdamentes acélból készült gép könnyű használatot garantál, valamint lehetőséget biztosít arra, hogy a tészta vastagságát 7 különböző szinten, 3mm-től 0,5mm-ig állíthassa, 14,5 cm szélességben.
A konyhapultra vagy munkalapra rögzíthető szorítója további stabilitást nyújt használata során. Robusztus konstrukciójának köszönhetően nagy erőt és tartósságot kínál. A rozsdamentes acél anyaga ellenáll a rozsdásodásnak és a gyakori, hosszantartó használatnak is. Két vágópozícióban készítheti el a tésztát: egyik a tagliatelle számára (kb. 6mm szélesség), a másik pedig a spagetti számára (kb. 3mm szélesség). A házi készítésű tészta és kézzel készített piték még érdekesebbé válnak, hiszen mostantól saját friss alapanyagaival kísérletezhet konyhájában, bármit létrehozva, amit csak el tud képzelni.
FIGYELEM: A gépet ne mossa el vízben vagy mosogatógépben!
Néhány tipp, hogy sokáig használhassa a terméket:
* Az első használat előtt tisztítsa meg a hengereket és vágópengéket úgy, hogy többször átenged rajtuk némi tésztát, amit ezután el kell dobni.
* Minden használat után tisztítsa meg a sima hengerek alatti kaparókat száraz ruhával vagy papírtörlővel. A tésztakészítő pengéket puha kefével vagy fapálcikával tisztítsa.
* A gépet ne mossa vízzel vagy mosogatógépben.
* Ne használjon fémszivacsokat, drótot vagy erős tisztítószereket.
* Az Európai élelmiszer-érintkezési szabályoknak megfelelően készült.
* Kizárólag a javasolt használatra alkalmazza.
* Mindig tartsa távol a gyerekektől.
* 
Fedezze fel a friss tészta készítésének örömét a Nava Acer tésztakészítő géppel! Induljon el saját gasztronómiai utazására már ma, és hozzon létre valami különlegeset, amellyel megörvendeztetheti családját és barátait.</t>
        </is>
      </c>
    </row>
    <row r="530">
      <c r="A530" s="3" t="inlineStr">
        <is>
          <t>10-111-007</t>
        </is>
      </c>
      <c r="B530" s="2" t="inlineStr">
        <is>
          <t>Nava 10-111-007 Misty habverő, 31 cm</t>
        </is>
      </c>
      <c r="C530" s="1" t="n">
        <v>1350.0</v>
      </c>
      <c r="D530" s="7" t="n">
        <f>HYPERLINK("https://www.somogyi.hu/product/nava-10-111-007-misty-habvero-31-cm-10-111-007-18644","https://www.somogyi.hu/product/nava-10-111-007-misty-habvero-31-cm-10-111-007-18644")</f>
        <v>0.0</v>
      </c>
      <c r="E530" s="7" t="n">
        <f>HYPERLINK("https://www.somogyi.hu/data/img/product_main_images/small/18644.jpg","https://www.somogyi.hu/data/img/product_main_images/small/18644.jpg")</f>
        <v>0.0</v>
      </c>
      <c r="F530" s="2" t="inlineStr">
        <is>
          <t>5205746889130</t>
        </is>
      </c>
      <c r="G530" s="4" t="inlineStr">
        <is>
          <t>Szeretne krémesebb omlettet vagy tökéletesen habos süteményeket készíteni? A Nava 10-111-007 Misty habverő az Ön új, elengedhetetlen segítője lesz a konyhában.
A Misty habverőt (hossza 31 cm) kiváló minőségű nylon anyagból gyártja a NAVA, amely élelmiszerrel érintkezve is biztonságos, és akár 200°C-os hőmérsékletnek is ellenáll. Ergonomikus, csúszásmentes, puha tapintású fogantyúja kényelmes és biztonságos használatot tesz lehetővé, míg a fogantyú végén lévő praktikus lyuk lehetővé teszi, hogy könnyedén felakaszthassa. 
A Misty konyhai eszközök sorozata a konyha és a főzés szerelmeseinek készült. Ebben a sorozatban minden megtalálható, amire csak szüksége lehet a konyhában, a legegyszerűbb eszközöktől a legkülönlegesebb kiegészítőkig. A modern konyhai eszközök tervezésén alapuló sorozat a funkcionalitást és az innovációt helyezi előtérbe, hogy különböző módon szolgálja a modern konyha sokféle igényét. Az anyagok kiváló minősége hosszabb élettartamot biztosít az eszközöknek és ellenállóvá teszi őket a hővel szemben.
A Misty sorozat termékei magas hőmérsékletnek ellenálló anyagokból készülnek, az élelmiszerrel érintkező termékekre vonatkozó szabályoknak megfelelően, így egészséges és biztonságos választás a konyhájába. Mosogatógépben is tisztítható, rozsdamentes acél és tapadásmentes edényekhez is használható, mivel nem karcolja vagy károsítja a tapadásmentes bevonatot.
Néhány tipp, hogy sokáig használhassa a terméket:
* Az első használat előtt mosogassa el a terméket meleg szappanos vízzel és puha szivaccsal
* Minden használat után mosogassa és szárítsa meg alaposan egy száraz ruhával
* Kerülje a fém súrolószivacsok, drótok vagy erős tisztítószerek használatát 
* Ne hagyja a terméket a serpenyőben vagy fazékban főzés közben 
* Ne használja a terméket 200°C-nál magasabb hőmérsékleten 
Fedezze fel, mennyivel egyszerűbbé válik a főzés a Misty habverővel!</t>
        </is>
      </c>
    </row>
    <row r="531">
      <c r="A531" s="3" t="inlineStr">
        <is>
          <t>10-111-008</t>
        </is>
      </c>
      <c r="B531" s="2" t="inlineStr">
        <is>
          <t>Nava 10-111-008 tésztakiszedő kanál, spagetti, 34 cm</t>
        </is>
      </c>
      <c r="C531" s="1" t="n">
        <v>1350.0</v>
      </c>
      <c r="D531" s="7" t="n">
        <f>HYPERLINK("https://www.somogyi.hu/product/nava-10-111-008-tesztakiszedo-kanal-spagetti-34-cm-10-111-008-18645","https://www.somogyi.hu/product/nava-10-111-008-tesztakiszedo-kanal-spagetti-34-cm-10-111-008-18645")</f>
        <v>0.0</v>
      </c>
      <c r="E531" s="7" t="n">
        <f>HYPERLINK("https://www.somogyi.hu/data/img/product_main_images/small/18645.jpg","https://www.somogyi.hu/data/img/product_main_images/small/18645.jpg")</f>
        <v>0.0</v>
      </c>
      <c r="F531" s="2" t="inlineStr">
        <is>
          <t>5205746889031</t>
        </is>
      </c>
      <c r="G531" s="4" t="inlineStr">
        <is>
          <t>Egy univerzális eszközt keres, amely megkönnyíti a tészta szervírozását? A Nava 10-111-008 tésztakiszedő kanál minden tésztakedvelő számára elengedhetetlen segítség a konyhában.
A Misty tésztakiszedőt (hossza 34 cm) kiváló minőségű nylon anyagból gyártja a NAVA, amely élelmiszerrel érintkezve is biztonságos, és akár 200°C-os hőmérsékletnek is ellenáll. Ergonomikus, csúszásmentes, puha tapintású fogantyúja kényelmes és biztonságos használatot tesz lehetővé, míg a fogantyú végén lévő praktikus lyuk lehetővé teszi, hogy könnyedén felakaszthassa. 
A Misty konyhai eszközök sorozata a konyha és a főzés szerelmeseinek készült. Ebben a sorozatban minden megtalálható, amire csak szüksége lehet a konyhában, a legegyszerűbb eszközöktől a legkülönlegesebb kiegészítőkig. A modern konyhai eszközök tervezésén alapuló sorozat a funkcionalitást és az innovációt helyezi előtérbe, hogy különböző módon szolgálja a modern konyha sokféle igényét. Az anyagok kiváló minősége hosszabb élettartamot biztosít az eszközöknek és ellenállóvá teszi őket a hővel szemben.
A Misty sorozat termékei magas hőmérsékletnek ellenálló anyagokból készülnek, az élelmiszerrel érintkező termékekre vonatkozó szabályoknak megfelelően, így egészséges és biztonságos választás a konyhájába. Mosogatógépben is tisztítható, rozsdamentes acél és tapadásmentes edényekhez is használható, mivel nem karcolja vagy károsítja a tapadásmentes bevonatot.
Néhány tipp, hogy sokáig használhassa a terméket:
* Az első használat előtt mosogassa el a terméket meleg szappanos vízzel és puha szivaccsal
* Minden használat után mosogassa és szárítsa meg alaposan egy száraz ruhával
* Kerülje a fém súrolószivacsok, drótok vagy erős tisztítószerek használatát 
* Ne hagyja a terméket a serpenyőben vagy fazékban főzés közben 
* Ne használja a terméket 200°C-nál magasabb hőmérsékleten 
Fedezze fel, hogyan változtathatja meg a tésztafogyasztás élményét a Nava Misty tésztakiszedő kanállal, amely egyszerűsíti a főzési és tálalási folyamatot.</t>
        </is>
      </c>
    </row>
    <row r="532">
      <c r="A532" s="3" t="inlineStr">
        <is>
          <t>10-111-015</t>
        </is>
      </c>
      <c r="B532" s="2" t="inlineStr">
        <is>
          <t>Nava 10-111-015 Misty szilikon ételfogó, húsokhoz, zöldségekhez, 23 cm</t>
        </is>
      </c>
      <c r="C532" s="1" t="n">
        <v>2490.0</v>
      </c>
      <c r="D532" s="7" t="n">
        <f>HYPERLINK("https://www.somogyi.hu/product/nava-10-111-015-misty-szilikon-etelfogo-husokhoz-zoldsegekhez-23-cm-10-111-015-18648","https://www.somogyi.hu/product/nava-10-111-015-misty-szilikon-etelfogo-husokhoz-zoldsegekhez-23-cm-10-111-015-18648")</f>
        <v>0.0</v>
      </c>
      <c r="E532" s="7" t="n">
        <f>HYPERLINK("https://www.somogyi.hu/data/img/product_main_images/small/18648.jpg","https://www.somogyi.hu/data/img/product_main_images/small/18648.jpg")</f>
        <v>0.0</v>
      </c>
      <c r="F532" s="2" t="inlineStr">
        <is>
          <t>5205746889253</t>
        </is>
      </c>
      <c r="G532" s="4" t="inlineStr">
        <is>
          <t>Egy sokoldalú konyhai eszközt keres, amely segít a húsok, zöldségek könnyed és biztonságos megfordításában a sütőben vagy serpenyőben? A Nava Misty szilikon ételfogó az Ön tökéletes segítője lesz minden főzési folyamatban.
Ez a kiváló minőségű, élelmiszerrel érintkezésre alkalmas szilikonfejjel rendelkező ételfogó (hossza 23 cm) ellenáll a magas hőmérsékletnek, akár 200°C-ig. Ergonomikus, csúszásmentes markolata kényelmes és biztonságos fogást biztosít használat közben. A markolat végén található biztonsági zár az ételfogót zárt állapotban tartja, így helytakarékos tárolást tesz lehetővé. A praktikus akasztólyuknak köszönhetően könnyedén felakasztható, hogy mindig kéznél legyen, amikor szükség van rá.
A Misty konyhai eszközök sorozata a konyha rajongói számára lett tervezve. Ebben a sorozatban mindent megtalál, amire csak szüksége lehet a konyhában, a legegyszerűbb eszközöktől a legkülönlegesebb kiegészítőkig. A modern konyhai eszközök tervezési elveit követve a Misty sorozat funkcionális és innovatív megoldásokat kínál a modern konyha számos igényének kielégítésére. Az anyagok kiváló minősége hosszú élettartamot és hőállóságot garantál az eszközöknek.
A Misty sorozat termékei magas hőmérsékletnek ellenálló anyagokból készülnek, megfelelnek az élelmiszerrel érintkező termékekre vonatkozó szabályozásoknak, így egészséges és biztonságos választás a konyhájába.Mosogatógépben is mosható, így a tisztításuk egyszerű és gyors. 
Az ételfogó acélból készült szilikon részekkel, ezért tapadásmentes bevonattal ellátott edényekhez is használható, mivel nem karcolja vagy károsítja a bevonatot.
Néhány tipp, hogy sokáig használhassa a terméket:
* Mielőtt először használná, mossa el meleg, szappanos vízzel és puha szivaccsal. 
* Használat után alaposan mosogassa és szárítsa meg. 
* Ne használjon fém dörzsölőket, drótot vagy erős tisztítószereket. 
* Ne hagyja a terméket a főzőedényben főzés közben.
Válassza a Nava Misty szilikon ételfogót a kényelmes, biztonságos és stílusos konyhai munkához.</t>
        </is>
      </c>
    </row>
    <row r="533">
      <c r="A533" s="3" t="inlineStr">
        <is>
          <t>10-111-002</t>
        </is>
      </c>
      <c r="B533" s="2" t="inlineStr">
        <is>
          <t>Nava 10-111-002 Misty tálaló lapát, 35 cm</t>
        </is>
      </c>
      <c r="C533" s="1" t="n">
        <v>1550.0</v>
      </c>
      <c r="D533" s="7" t="n">
        <f>HYPERLINK("https://www.somogyi.hu/product/nava-10-111-002-misty-talalo-lapat-35-cm-10-111-002-18638","https://www.somogyi.hu/product/nava-10-111-002-misty-talalo-lapat-35-cm-10-111-002-18638")</f>
        <v>0.0</v>
      </c>
      <c r="E533" s="7" t="n">
        <f>HYPERLINK("https://www.somogyi.hu/data/img/product_main_images/small/18638.jpg","https://www.somogyi.hu/data/img/product_main_images/small/18638.jpg")</f>
        <v>0.0</v>
      </c>
      <c r="F533" s="2" t="inlineStr">
        <is>
          <t>5205746889000</t>
        </is>
      </c>
      <c r="G533" s="4" t="inlineStr">
        <is>
          <t>Egy mindentudó segítőt a konyhába, ami minden fordulatra képes? A Nava 10-111-002 Misty tálaló lapátjával könnyedén keverhet, fordíthat és tálalhatja kedvenc ételeit!
A Misty tálaló lapátot (hossza 35 cm) kiváló minőségű nylon anyagból gyártja a NAVA, amely élelmiszerrel érintkezve is biztonságos, és akár 200°C-os hőmérsékletnek is ellenáll. Ergonomikus, csúszásmentes, puha tapintású fogantyúja kényelmes és biztonságos használatot tesz lehetővé, míg a fogantyú végén lévő praktikus lyuk lehetővé teszi, hogy könnyedén felakaszthassa.
A Misty konyhai eszközök sorozata a konyha és a főzés szerelmeseinek készült. Ebben a sorozatban minden megtalálható, amire csak szüksége lehet a konyhában, a legegyszerűbb eszközöktől a legkülönlegesebb kiegészítőkig. A modern konyhai eszközök tervezésén alapuló sorozat a funkcionalitást és az innovációt helyezi előtérbe, hogy különböző módon szolgálja a modern konyha sokféle igényét. Az anyagok kiváló minősége hosszabb élettartamot biztosít az eszközöknek és ellenállóvá teszi őket a hővel szemben.
A Misty sorozat termékei magas hőmérsékletnek ellenálló anyagokból készülnek, az élelmiszerrel érintkező termékekre vonatkozó szabályoknak megfelelően, így egészséges és biztonságos választás a konyhájába. Mosogatógépben is tisztítható, rozsdamentes acél és tapadásmentes edényekhez is használható, mivel nem karcolja vagy károsítja a tapadásmentes bevonatot.
Néhány tipp, hogy sokáig használhassa a terméket:
* Az első használat előtt mosogassa el a terméket meleg szappanos vízzel és puha szivaccsal
* Minden használat után mosogassa és szárítsa meg alaposan egy száraz ruhával
* Kerülje a fém súrolószivacsok, drótok vagy erős tisztítószerek használatát 
* Ne hagyja a terméket a serpenyőben vagy fazékban főzés közben 
* Ne használja a terméket 200°C-nál magasabb hőmérsékleten 
Fedezze fel a konyhai lehetőségeket a Nava Misty tálaló lapátjával, ami nem csak praktikus, hanem hosszú távon is megbízható társ lesz a konyhában.</t>
        </is>
      </c>
    </row>
    <row r="534">
      <c r="A534" s="6" t="inlineStr">
        <is>
          <t xml:space="preserve">   Egészség, szépség / Okos- és fitnesz karóra</t>
        </is>
      </c>
      <c r="B534" s="6" t="inlineStr">
        <is>
          <t/>
        </is>
      </c>
      <c r="C534" s="6" t="inlineStr">
        <is>
          <t/>
        </is>
      </c>
      <c r="D534" s="6" t="inlineStr">
        <is>
          <t/>
        </is>
      </c>
      <c r="E534" s="6" t="inlineStr">
        <is>
          <t/>
        </is>
      </c>
      <c r="F534" s="6" t="inlineStr">
        <is>
          <t/>
        </is>
      </c>
      <c r="G534" s="6" t="inlineStr">
        <is>
          <t/>
        </is>
      </c>
    </row>
    <row r="535">
      <c r="A535" s="3" t="inlineStr">
        <is>
          <t>CNS-SW63BB</t>
        </is>
      </c>
      <c r="B535" s="2" t="inlineStr">
        <is>
          <t>CANYON CNS-SW63BB Lollypop okosóra, 1,3”-os színes kijelző, Bluetooth, IP68, iOS és Android kompatibilitás</t>
        </is>
      </c>
      <c r="C535" s="1" t="n">
        <v>16790.0</v>
      </c>
      <c r="D535" s="7" t="n">
        <f>HYPERLINK("https://www.somogyi.hu/product/canyon-cns-sw63bb-lollypop-okosora-1-3-os-szines-kijelzo-bluetooth-ip68-ios-es-android-kompatibilitas-cns-sw63bb-18371","https://www.somogyi.hu/product/canyon-cns-sw63bb-lollypop-okosora-1-3-os-szines-kijelzo-bluetooth-ip68-ios-es-android-kompatibilitas-cns-sw63bb-18371")</f>
        <v>0.0</v>
      </c>
      <c r="E535" s="7" t="n">
        <f>HYPERLINK("https://www.somogyi.hu/data/img/product_main_images/small/18371.jpg","https://www.somogyi.hu/data/img/product_main_images/small/18371.jpg")</f>
        <v>0.0</v>
      </c>
      <c r="F535" s="2" t="inlineStr">
        <is>
          <t>5291485008512</t>
        </is>
      </c>
      <c r="G535" s="4" t="inlineStr">
        <is>
          <t>Hogyan segíthet egy okosóra a napi rutin hatékonyabb menedzselésében?
A CANYON CNS-SW63BB Lollypop okosóra nemcsak egy stílusos kiegészítő, hanem egy praktikus eszköz is, amely támogatja az aktív életmódot és megkönnyíti a mindennapokat. 1,3 hüvelykes színes kijelzője éles és jól látható információkat biztosít, miközben a Bluetooth 5.0 kapcsolat lehetővé teszi az okostelefonnal való zökkenőmentes összekapcsolást. Az IP68 vízállóság garantálja, hogy akár sportolás vagy esős időjárás közben is megbízhatóan használható marad.
Modern kijelző és kényelmes kialakítás
Az IPS technológiával készült, 240 x 240 felbontású kijelző kiváló vizuális élményt nyújt, élénk színekkel és tiszta részletekkel. A műanyag ház és a szilikon szíj könnyű és kényelmes viseletet biztosít, így hosszabb használat során sem terheli meg a csuklót. Kompakt méretének (25,2 x 42,5 x 10,7 mm) és mindössze 35 g súlyának köszönhetően diszkrét, mégis látványos kiegészítője lehet a hétköznapoknak.
Hosszú üzemidő és gyors csatlakozás
A 155 mAh kapacitású Li-Po akkumulátor akár 10 nap készenléti időt biztosít, míg aktív használat mellett is legfeljebb 4 napig működik egyetlen töltéssel. A Bluetooth 5.0 kapcsolat gyors és stabil összeköttetést garantál, lehetővé téve az értesítések azonnali megjelenítését és az okostelefon-funkciók távoli vezérlését.
Széleskörű kompatibilitás és okosfunkciók
A Lollypop okosóra kompatibilis iOS 13.0+ és Android 7.0+ rendszerekkel, valamint támogatja a Google Fit és Apple Health integrációt, így segít nyomon követni a napi aktivitást és az egészségügyi adatokat. Az érzékelők között pulzusmérő és gyorsulásmérő is található, amely pontosan rögzíti a mozgással és edzéssel kapcsolatos statisztikákat.
Hasznos funkciók a mindennapokra
Az okosóra számos kényelmi és sportfunkciót kínál:
- Személyre szabható értesítések (hívások, üzenetek, alkalmazások)
- Tevékenységi statisztikák és lépésszámláló
- Alvásfigyelés és tétlenség-emlékeztető az egészségesebb életmódért
- Időjárás-előrejelzés, ébresztő és emlékeztetők
- Multisport mód a pontos edzéskövetéshez
- Kameravezérlés és zenelejátszó-vezérlés
- Cserélhető számlapok és többnyelvű menü a személyre szabhatóságért
Miért érdemes a CANYON CNS-SW63BB Lollypop okosórát választani?
- 1,3” színes IPS kijelző élénk és éles megjelenítéssel
- IP68 vízállóság, így sportolás és hétköznapi használat során is strapabíró
- Akár 10 nap készenléti idő, hosszú üzemidő egyetlen töltéssel
- Pulzusmérő, lépésszámláló és multisport mód az aktív életmód támogatására
- Bluetooth 5.0 kapcsolat, gyors és stabil szinkronizáció az okostelefonnal
- Google Fit és Apple Health kompatibilitás, így könnyen követhető az aktivitás
- Kényelmes szilikon szíj és modern, letisztult dizájn
Kövesse nyomon egészségét és maradjon kapcsolatban bárhol, bármikor! A CANYON CNS-SW63BB Lollypop okosóra tökéletes választás azok számára, akik egy sokoldalú, stílusos és megbízható eszközt keresnek a mindennapokhoz és az aktív életmódhoz.</t>
        </is>
      </c>
    </row>
    <row r="536">
      <c r="A536" s="3" t="inlineStr">
        <is>
          <t>CNE-KW31YB</t>
        </is>
      </c>
      <c r="B536" s="2" t="inlineStr">
        <is>
          <t>CANYON TONY KW-31 CNE-KW31YB gyermek okosóra</t>
        </is>
      </c>
      <c r="C536" s="1" t="n">
        <v>13190.0</v>
      </c>
      <c r="D536" s="7" t="n">
        <f>HYPERLINK("https://www.somogyi.hu/product/canyon-tony-kw-31-cne-kw31yb-gyermek-okosora-cne-kw31yb-19033","https://www.somogyi.hu/product/canyon-tony-kw-31-cne-kw31yb-gyermek-okosora-cne-kw31yb-19033")</f>
        <v>0.0</v>
      </c>
      <c r="E536" s="7" t="n">
        <f>HYPERLINK("https://www.somogyi.hu/data/img/product_main_images/small/19033.jpg","https://www.somogyi.hu/data/img/product_main_images/small/19033.jpg")</f>
        <v>0.0</v>
      </c>
      <c r="F536" s="2" t="inlineStr">
        <is>
          <t>5291485007973</t>
        </is>
      </c>
      <c r="G536" s="4" t="inlineStr">
        <is>
          <t>Szeretné, ha gyermeke mindig elérhető lenne, és közben szórakozhatna is? A Canyon Tony KW-31 gyermek okosóra tökéletes választás azoknak a szülőknek, akik praktikus és biztonságos megoldást keresnek gyermekeik számára. 
Ez az óraként viselhető GSM telefon nem igényel okostelefon-kapcsolatot, így gyermeke függetlenül, könnyedén használhatja. Az egyszerűen kezelhető felület, a hasznos funkciók és a strapabíró kialakítás révén ez az okosóra valódi társ a mindennapokban.
Telefonálás és üzenetküldés, bárhol, bármikor
Az óra beépített Micro-SIM kártyahelye lehetővé teszi a kétirányú kommunikációt, így gyermeke bármikor hívásokat indíthat és fogadhat, vagy akár SMS-t is küldhet, anélkül, hogy okostelefonra lenne szüksége. A 2G GSM hálózat kompatibilitása biztosítja, hogy az óra a legelterjedtebb hálózatokon is működik, legyen szó belföldi vagy nemzetközi használatról.
Funkciók, amelyek szórakoztatnak és tanítanak
A Canyon Tony KW-31 nemcsak a kommunikációban jeleskedik, hanem szórakozást is kínál gyermeke számára. A beépített 0,3 megapixeles kamera lehetőséget nyújt fényképek készítésére, míg a hangrögzítő segítségével gyermekek saját jegyzeteiket is felvehetik. A zenelejátszó révén pedig kedvenc zenéiket vagy hangoskönyveiket hallgathatják, a memória akár 32 GB-ig bővíthető microSD kártyával. Ráadásul, az óra 7 különböző oktatójátékkal is rendelkezik, amelyek szórakoztatnak és fejlesztenek egyszerre.
Egyszerű és praktikus kialakítás
A gyerekbarát felhasználói felületnek köszönhetően az óra könnyen kezelhető, a színes, kivehető szilikon szíj pedig kényelmes viseletet biztosít. A kapacitív 1,54"-os multi-touch kijelző 240x240-es felbontásával tiszta, éles képet nyújt, és a gyerekek könnyedén navigálhatnak a különböző funkciók között. Az óra strapabíró, műanyag tokozása és kompakt mérete (54x13,6x42,6 mm) garantálja, hogy jól bírja a mindennapi használatot, míg a 380 mAh-s Li-Pol akkumulátor akár 4 napos üzemidőt biztosít, így nem kell aggódnia a gyakori töltés miatt.
Mindennapi hasznos funkciók
Az óra számos praktikus funkcióval is rendelkezik, amelyek a mindennapi élet során is jól jönnek. A számológép, ébresztőóra, naptár és stopperóra mind a gyermekek kényelmét és szervezettségét szolgálja. Ezekkel az eszközökkel a tanulás és a szórakozás könnyedén egyensúlyba hozható, miközben a szülők is nyugodtak lehetnek, hogy gyermekük mindig kapcsolatban marad.
Biztonság és szórakozás egyetlen eszközben!
A Canyon Tony KW-31 gyermek okosóra ideális választás minden szülő számára, akik biztonságban szeretnék tudni gyermeküket, miközben lehetőséget biztosítanak számukra a szórakozásra és tanulásra. Ne várjon tovább, szerezze be ezt a praktikus és sokoldalú kütyüt, és nyújtson gyermeke számára egy hasznos, mégis szórakoztató eszközt! Rendelje meg most, és biztosítsa gyermeke számára a mindennapi kapcsolatot és szórakozást!</t>
        </is>
      </c>
    </row>
    <row r="537">
      <c r="A537" s="3" t="inlineStr">
        <is>
          <t>CNS-SW63SW</t>
        </is>
      </c>
      <c r="B537" s="2" t="inlineStr">
        <is>
          <t>CANYON CNS-SW63SW Lollypop okosóra, 1,3”-os IPS kijelző, IP68, Li-pol akku, Bluetooth, iOS és Android kompatibilis, fehér</t>
        </is>
      </c>
      <c r="C537" s="1" t="n">
        <v>16790.0</v>
      </c>
      <c r="D537" s="7" t="n">
        <f>HYPERLINK("https://www.somogyi.hu/product/canyon-cns-sw63sw-lollypop-okosora-1-3-os-ips-kijelzo-ip68-li-pol-akku-bluetooth-ios-es-android-kompatibilis-feher-cns-sw63sw-18372","https://www.somogyi.hu/product/canyon-cns-sw63sw-lollypop-okosora-1-3-os-ips-kijelzo-ip68-li-pol-akku-bluetooth-ios-es-android-kompatibilis-feher-cns-sw63sw-18372")</f>
        <v>0.0</v>
      </c>
      <c r="E537" s="7" t="n">
        <f>HYPERLINK("https://www.somogyi.hu/data/img/product_main_images/small/18372.jpg","https://www.somogyi.hu/data/img/product_main_images/small/18372.jpg")</f>
        <v>0.0</v>
      </c>
      <c r="F537" s="2" t="inlineStr">
        <is>
          <t>5291485008529</t>
        </is>
      </c>
      <c r="G537" s="4" t="inlineStr">
        <is>
          <t>Ön is keres egy stílusos, mégis megbízható okoseszközt, amely segít formában maradni és lépést tartani a mindennapokkal?
A CANYON CNS-SW63SW Lollypop okosóra kiváló választás azok számára, akik nem szeretnének kompromisszumot kötni a dizájn és a funkcionalitás között. Modern megjelenésével és széles körű intelligens funkcióival ez az okosóra tökéletes kiegészítője lehet a mindennapi életnek, legyen szó sportolásról, munkáról vagy pihenésről.
Letisztult dizájn, intelligens belső
Az óra 1,3”-os IPS kijelzője éles és színgazdag megjelenítést biztosít, amely minden fényviszony mellett jól olvasható. A 240 x 240 pixeles felbontás részletgazdag képet nyújt, míg a fehér szilikon pánt és könnyű műanyag ház kényelmes viseletet garantál egész napra. A mindössze 35 grammos súly szinte észrevétlenül simul a csuklóra.
Funkciók, amelyek a nap minden percében hasznosak
A Canyon Lollypop okosóra számos hasznos funkciót kínál: pulzusmérés, lépésszámláló, alvásfigyelés, teendőemlékeztető, valamint időjárás-előrejelzés, zene- és kameravezérlés is rendelkezésre áll. A multisport módok segítik a hatékony edzést, míg a tétlenségre figyelmeztető jelzések ösztönöznek a mozgásra még a legzsúfoltabb napokon is. A kijelző számlapjai személyre szabhatók, így mindenki megtalálhatja a saját stílusához illőt.
Megbízható teljesítmény, okos társ a mindennapokban
A Pixart PAR2860QN chipset, a 32 KB RAM és 512 KB ROM biztosítja a gyors és stabil működést. A beépített Bluetooth 5.0 technológiának köszönhetően az óra egyszerűen párosítható bármely iOS (13.0+) vagy Android (7.0+) rendszerű eszközzel. Az 155 mAh-s lítium-polimer akkumulátor akár 10 napos készenléti időt, vagy 4 napos aktív használatot is lehetővé tesz, így nem kell naponta töltőre tenni.
Miért érdemes a CANYON CNS-SW63SW Lollypop okosórát választani?
– Stílusos megjelenés, kényelmes viselet
– 1,3" IPS kijelző éles és színes képpel
– Multisport módok és egészségfigyelő funkciók
– Támogatja a Google Fit és Apple Health rendszereket
– Vízállóság IP68 védelemmel
– Akár 10 napos készenléti idő
– Széleskörű kompatibilitás iOS és Android rendszerekkel
Dobja fel mindennapjait egy megbízható, divatos és sokoldalú okosórával! A CANYON Lollypop nemcsak időt mutat, hanem aktívan támogatja egészsége megőrzését is – válassza most, és tapasztalja meg a modern technológia előnyeit első kézből!</t>
        </is>
      </c>
    </row>
    <row r="538">
      <c r="A538" s="6" t="inlineStr">
        <is>
          <t xml:space="preserve">   Egészség, szépség / Alkoholszonda</t>
        </is>
      </c>
      <c r="B538" s="6" t="inlineStr">
        <is>
          <t/>
        </is>
      </c>
      <c r="C538" s="6" t="inlineStr">
        <is>
          <t/>
        </is>
      </c>
      <c r="D538" s="6" t="inlineStr">
        <is>
          <t/>
        </is>
      </c>
      <c r="E538" s="6" t="inlineStr">
        <is>
          <t/>
        </is>
      </c>
      <c r="F538" s="6" t="inlineStr">
        <is>
          <t/>
        </is>
      </c>
      <c r="G538" s="6" t="inlineStr">
        <is>
          <t/>
        </is>
      </c>
    </row>
    <row r="539">
      <c r="A539" s="3" t="inlineStr">
        <is>
          <t>94807</t>
        </is>
      </c>
      <c r="B539" s="2" t="inlineStr">
        <is>
          <t>Home 94807 digitális alkoholszonda, gyors reagálás, tartomány: 0,00 - 0,19% BAC, mérési pontosság: 0,01% BAC, LCD-kijelző</t>
        </is>
      </c>
      <c r="C539" s="1" t="n">
        <v>7790.0</v>
      </c>
      <c r="D539" s="7" t="n">
        <f>HYPERLINK("https://www.somogyi.hu/product/home-94807-digitalis-alkoholszonda-gyors-reagalas-tartomany-0-00-0-19-bac-meresi-pontossag-0-01-bac-lcd-kijelzo-94807-14888","https://www.somogyi.hu/product/home-94807-digitalis-alkoholszonda-gyors-reagalas-tartomany-0-00-0-19-bac-meresi-pontossag-0-01-bac-lcd-kijelzo-94807-14888")</f>
        <v>0.0</v>
      </c>
      <c r="E539" s="7" t="n">
        <f>HYPERLINK("https://www.somogyi.hu/data/img/product_main_images/small/14888.jpg","https://www.somogyi.hu/data/img/product_main_images/small/14888.jpg")</f>
        <v>0.0</v>
      </c>
      <c r="F539" s="2" t="inlineStr">
        <is>
          <t>8586017594807</t>
        </is>
      </c>
      <c r="G539" s="4" t="inlineStr">
        <is>
          <t>Szeretné biztosan tudni, hogy mikor ülhet biztonságosan a volán mögé? A Home 94807 digitális alkoholszonda gyors és megbízható mérési eredményekkel segít Önnek eldönteni, hogy biztonságos-e a vezetés. 
Csak 10 másodperc bemelegedési időre van szüksége, és kevesebb mint 5 másodperc alatt kijelzi az alkoholszintet, így azonnali visszajelzést kap. A 0,00 - 0,19% BAC mérési tartománnyal és 0,01% BAC pontossággal működő készülék figyelmeztető hangjelzéssel jelzi, ha az alkoholszint magasabb a biztonságos értéknél. Az LCD-kijelző könnyen leolvasható, az automatikus kikapcsolás pedig az elemek élettartamát meghosszabbítja. A szonda 2 x 1,5 V (AAA) elemmel működik, amely nem tartozék, és kis méretének (36x95x18 mm) köszönhetően bárhol könnyedén elfér.
Válassza a Home 94807 digitális alkoholszondát, és legyen mindig biztos abban, hogy felelősségteljesen és biztonságosan közlekedik!</t>
        </is>
      </c>
    </row>
    <row r="540">
      <c r="A540" s="6" t="inlineStr">
        <is>
          <t xml:space="preserve">   Egészség, szépség / PH-teszter</t>
        </is>
      </c>
      <c r="B540" s="6" t="inlineStr">
        <is>
          <t/>
        </is>
      </c>
      <c r="C540" s="6" t="inlineStr">
        <is>
          <t/>
        </is>
      </c>
      <c r="D540" s="6" t="inlineStr">
        <is>
          <t/>
        </is>
      </c>
      <c r="E540" s="6" t="inlineStr">
        <is>
          <t/>
        </is>
      </c>
      <c r="F540" s="6" t="inlineStr">
        <is>
          <t/>
        </is>
      </c>
      <c r="G540" s="6" t="inlineStr">
        <is>
          <t/>
        </is>
      </c>
    </row>
    <row r="541">
      <c r="A541" s="3" t="inlineStr">
        <is>
          <t>PHT 01</t>
        </is>
      </c>
      <c r="B541" s="2" t="inlineStr">
        <is>
          <t>Home PHT 01 pH teszter &amp; hőmérő, savasság és lúgosság mérésére, pH0,00-14,00, 0–60°C, folyadék és levegő hőmérsékletének mérése, LCD-kijelző</t>
        </is>
      </c>
      <c r="C541" s="1" t="n">
        <v>5390.0</v>
      </c>
      <c r="D541" s="7" t="n">
        <f>HYPERLINK("https://www.somogyi.hu/product/home-pht-01-ph-teszter-homero-savassag-es-lugossag-meresere-ph0-00-14-00-0-60-c-folyadek-es-levego-homersekletenek-merese-lcd-kijelzo-pht-01-12038","https://www.somogyi.hu/product/home-pht-01-ph-teszter-homero-savassag-es-lugossag-meresere-ph0-00-14-00-0-60-c-folyadek-es-levego-homersekletenek-merese-lcd-kijelzo-pht-01-12038")</f>
        <v>0.0</v>
      </c>
      <c r="E541" s="7" t="n">
        <f>HYPERLINK("https://www.somogyi.hu/data/img/product_main_images/small/12038.jpg","https://www.somogyi.hu/data/img/product_main_images/small/12038.jpg")</f>
        <v>0.0</v>
      </c>
      <c r="F541" s="2" t="inlineStr">
        <is>
          <t>5999084902506</t>
        </is>
      </c>
      <c r="G541" s="4" t="inlineStr">
        <is>
          <t>Hogyan mérheti gyorsan és pontosan a pH értéket és a hőmérsékletet otthon vagy munka közben? A Home PHT 01 pH teszter &amp; hőmérő innovatív megoldást kínál savasság és lúgosság mérésére, miközben folyadékok és levegő hőmérsékletét is pontosan meghatározza. Ez az eszköz ideális választás azok számára, akik megbízható, könnyen használható és hordozható megoldást keresnek az otthoni vagy professzionális alkalmazásokhoz.
Széles mérési tartomány és precíz eredmények
A pH teszter 0,00 és 14,00 közötti pH értékeket mér, miközben a 0–60°C közötti hőmérsékleti tartománybanpontos adatokat biztosít. Az automatikus hőmérséklet-kompenzáció funkció garantálja, hogy a mért értékek mindig megbízhatóak legyenek, függetlenül a környezeti feltételektől.
Sokoldalú alkalmazhatóság
Ez az eszköz számos területen felhasználható, például úszómedencék, pezsgőfürdők, akváriumok, halastavak, csapvíz, ásványvíz, gyümölcslevek, bor, pálinkafőzés, kávé, tea vagy öntözővíz pH értékének mérésére. Az egészséges életmód követése során is kiváló segédeszköz, például vízminőség ellenőrzésére vagy táplálkozási célokra.
Korszerű technológia a könnyű használatért
A Home PHT 01 pH teszter &amp; hőmérő üveg-elektród mérőfeje és a 4 digites LCD-kijelzője gyors és pontos eredményeket biztosít. A kijelző nagy mérete és jól látható számai kényelmessé teszik az adatok leolvasását. Az egypontos kalibráció lehetőséget ad arra, hogy az eszközt mindig az aktuális körülményekhez igazítsa, a pontosabb eredmények érdekében.
Gyors, tiszta és kényelmes használat
A tesztcsíkokkal való bajlódás helyett ez az eszköz gyors és tiszta megoldást nyújt a pH és hőmérséklet mérésére. A tartozék kalibráló csavarhúzóval és védőtokkal a használat és a tárolás is egyszerűvé válik. Az eszköz működtetéséhez szükséges 2 db LR44 (1,5 V-os) elem a csomag része, így azonnal használatba vehető.
Hordozható és kompakt kialakítás
A teszter mindössze 155 x 29 x 16 mm méretű, ami könnyű hordozhatóságot biztosít, akár zsebben is elfér. Ezáltal bárhová magával viheti, legyen szó otthoni, munkahelyi vagy hobbi célú felhasználásról.
Miért válassza a Home PHT 01 pH teszter &amp; hőmérőt?
Ez a kompakt és korszerű eszköz egyesíti a precizitást, a gyorsaságot és a könnyű használhatóságot. Az egészséges életmód támogatásától kezdve a professzionális vízminőség-ellenőrzésig számos feladatra ideális választás. Tartós anyaghasználata és sokoldalú funkciói révén hosszú távon is megbízható eszköze lehet.
Fedezze fel a Home PHT 01 pH teszter &amp; hőmérő előnyeit, és élvezze a pontos mérések és a praktikus használat adta kényelmet minden alkalommal!</t>
        </is>
      </c>
    </row>
    <row r="542">
      <c r="A542" s="6" t="inlineStr">
        <is>
          <t xml:space="preserve">   Egészség, szépség / Sókristálylámpa, mécses</t>
        </is>
      </c>
      <c r="B542" s="6" t="inlineStr">
        <is>
          <t/>
        </is>
      </c>
      <c r="C542" s="6" t="inlineStr">
        <is>
          <t/>
        </is>
      </c>
      <c r="D542" s="6" t="inlineStr">
        <is>
          <t/>
        </is>
      </c>
      <c r="E542" s="6" t="inlineStr">
        <is>
          <t/>
        </is>
      </c>
      <c r="F542" s="6" t="inlineStr">
        <is>
          <t/>
        </is>
      </c>
      <c r="G542" s="6" t="inlineStr">
        <is>
          <t/>
        </is>
      </c>
    </row>
    <row r="543">
      <c r="A543" s="3" t="inlineStr">
        <is>
          <t>SKM 57</t>
        </is>
      </c>
      <c r="B543" s="2" t="inlineStr">
        <is>
          <t>Home SKM 57 sókristálymécses, kivájt mécsestartó, 0,5 – 0,7 kg tömegű</t>
        </is>
      </c>
      <c r="C543" s="1" t="n">
        <v>1490.0</v>
      </c>
      <c r="D543" s="7" t="n">
        <f>HYPERLINK("https://www.somogyi.hu/product/home-skm-57-sokristalymecses-kivajt-mecsestarto-0-5-0-7-kg-tomegu-skm-57-7413","https://www.somogyi.hu/product/home-skm-57-sokristalymecses-kivajt-mecsestarto-0-5-0-7-kg-tomegu-skm-57-7413")</f>
        <v>0.0</v>
      </c>
      <c r="E543" s="7" t="n">
        <f>HYPERLINK("https://www.somogyi.hu/data/img/product_main_images/small/07413.jpg","https://www.somogyi.hu/data/img/product_main_images/small/07413.jpg")</f>
        <v>0.0</v>
      </c>
      <c r="F543" s="2" t="inlineStr">
        <is>
          <t>5998312764022</t>
        </is>
      </c>
      <c r="G543" s="4" t="inlineStr">
        <is>
          <t>Hogyan varázsolhat otthonába meghitt és nyugtató légkört egyetlen gyertyával? A Home SKM 57 sókristálymécses a természet erejét és a mécsesek melegségét ötvözi, hogy otthona minden szegletében harmóniát teremtsen. Ez az egyedi, természetes sókristályból készült mécsestartó nemcsak dekoratív, hanem jótékony hatású kiegészítő is, amely meghitt hangulatot varázsol a mindennapokba.
Természetes anyagok és egyedi dizájn
A mécsestartó sziklaformájú, kivájt sókristályból készült, amely természetes megjelenésével bármilyen belső tér tökéletes kiegészítője lehet. A sókristály tömege 0,5–0,7 kg, így elegáns, mégis kompakt méretű, amely bármelyik polcon vagy asztalon helyet kaphat. Az egyedi kialakítás minden mécsesnek stabil helyet biztosít, miközben a sókristály lágy fényén keresztül kellemes, pihentető világítást nyújt.
Jótékony hatások a mindennapokban
A Himalájából származó sókristályok nemcsak esztétikusak, hanem pozitív hatással lehetnek a közérzetre is. A mécses melege által a sókristály enyhén ionizálhatja a levegőt, segítve annak tisztítását, miközben a lágy fény csökkenti a stresszt és javítja az általános hangulatot. Ideális választás hálószobába, nappaliba vagy akár jógázás, meditáció során használva.
Sokoldalú felhasználhatóság
A Home SKM 57 sókristálymécses különleges atmoszférát teremt bármilyen környezetben. Legyen szó romantikus vacsoráról, ünnepi dekorációról vagy egyszerűen egy csendes, pihentető estéről, ez a mécsestartó minden alkalomhoz illik. Természetes, visszafogott megjelenése miatt bármilyen stílusú enteriőrben tökéletesen mutat.
Könnyen használható és tartós megoldás
A mécsestartó kialakítása lehetővé teszi bármilyen standard méretű mécses egyszerű behelyezését. A természetes sókristály tartós és időtálló anyag, amely hosszú éveken át megőrzi eredeti szépségét és funkcióját.
Miért válassza a Home SKM 57 sókristálymécsest?
Ez a mécsestartó nemcsak vizuálisan gyönyörű, hanem a nyugalom és a harmónia megteremtésének tökéletes eszköze. Kompakt mérete és természetes anyaga miatt kiváló ajándék lehet szeretteinek, vagy tökéletes kiegészítője lehet otthona bármelyik helyiségének.
Adjon otthonának meghitt, nyugtató légkört a Home SKM 57 sókristálymécsessel, és élvezze a természetes fények és anyagok varázsát minden este!</t>
        </is>
      </c>
    </row>
    <row r="544">
      <c r="A544" s="3" t="inlineStr">
        <is>
          <t>WS 2300</t>
        </is>
      </c>
      <c r="B544" s="2" t="inlineStr">
        <is>
          <t>Home WS 2300 sókristálylámpa, fa talp E14 foglalattal, 1,5 m tápkábel kapcsolóval, 2-3 kg tömegű, 15 W-os izzó tartozék, 230 V</t>
        </is>
      </c>
      <c r="C544" s="1" t="n">
        <v>7490.0</v>
      </c>
      <c r="D544" s="7" t="n">
        <f>HYPERLINK("https://www.somogyi.hu/product/home-ws-2300-sokristalylampa-fa-talp-e14-foglalattal-1-5-m-tapkabel-kapcsoloval-2-3-kg-tomegu-15-w-os-izzo-tartozek-230-v-ws-2300-9125","https://www.somogyi.hu/product/home-ws-2300-sokristalylampa-fa-talp-e14-foglalattal-1-5-m-tapkabel-kapcsoloval-2-3-kg-tomegu-15-w-os-izzo-tartozek-230-v-ws-2300-9125")</f>
        <v>0.0</v>
      </c>
      <c r="E544" s="7" t="n">
        <f>HYPERLINK("https://www.somogyi.hu/data/img/product_main_images/small/09125.jpg","https://www.somogyi.hu/data/img/product_main_images/small/09125.jpg")</f>
        <v>0.0</v>
      </c>
      <c r="F544" s="2" t="inlineStr">
        <is>
          <t>5998312779989</t>
        </is>
      </c>
      <c r="G544" s="4" t="inlineStr">
        <is>
          <t>Hogyan teremthet otthonában meleg, harmóniát árasztó légkört természetes fényekkel? A Home WS 2300 sókristálylámpa nemcsak dekoratív kiegészítője lehet otthonának, hanem a pihenés és a nyugalom szimbóluma is. A természetes sókristály és a meleg fény együttes hatása különleges atmoszférát teremt, amely hozzájárul a kiegyensúlyozott, otthonos környezet megteremtéséhez.
Természetes anyagok és egyedi megjelenés
Ez a sókristálylámpa lenyűgöző, sziklaformájú kialakításával bármilyen enteriőr tökéletes kiegészítője lehet. A kristály tömege 2–3 kg, így elegáns hangsúlyt ad minden helyiségnek. A lámpa masszív fa talppal készült, amely nemcsak stabil tartást biztosít, hanem tovább növeli az esztétikai értékét.
Praktikus kialakítás és könnyű használat
A lámpa E14-es foglalattal rendelkezik, amelybe a csomagban található 15 W-os izzó gyorsan és egyszerűen behelyezhető. A 1,5 méter hosszú tápkábel kapcsolóval ellátott, így kényelmesen be- és kikapcsolható. Az eszköz 230 V-os tápellátással működik, ami kompatibilis minden szabványos hálózattal.
Harmónia és jótékony hatás a mindennapokra
A Himalájai sókristályokat régóta használják nyugtató és levegőtisztító hatásuk miatt. A lámpa fénye megnyugtatja az érzékeket, és ideális választás hálószobába, nappaliba vagy irodába, ahol kiegyensúlyozott és pihentető környezetre van szükség. A természetes fényforrás segíthet csökkenteni a stresszt, miközben esztétikusan emeli a helyiség hangulatát.
Tartós és energiatakarékos megoldás
A Home WS 2300 sókristálylámpa hosszú élettartamú, energiatakarékos izzóval érkezik, amely megbízható teljesítményt nyújt. A természetes anyagok és a precíz kivitelezés biztosítja, hogy ez a lámpa hosszú távon is értékes kiegészítője legyen otthonának.
Miért válassza a Home WS 2300 sókristálylámpát?
Ez a lámpa nemcsak látványos dekoráció, hanem a mindennapi nyugalom megteremtésének egyik kulcsfontosságú eszköze is. A természetes sókristály szépsége és a fa talp eleganciája tökéletes kombinációt alkot, amely minden helyiség dísze lehet.
Adjon új dimenziót otthonának a Home WS 2300 sókristálylámpával, és élvezze a meleg fény és a természet harmóniáját minden nap!</t>
        </is>
      </c>
    </row>
    <row r="545">
      <c r="A545" s="3" t="inlineStr">
        <is>
          <t>SKL 12</t>
        </is>
      </c>
      <c r="B545" s="2" t="inlineStr">
        <is>
          <t>Home SKL 12 sókristálylámpa, fa talp E14 foglalattal, 1,5 m tápkábel kapcsolóval, 1-2 kg tömegű, 15 W-os izzó tartozék, 230 V</t>
        </is>
      </c>
      <c r="C545" s="1" t="n">
        <v>6290.0</v>
      </c>
      <c r="D545" s="7" t="n">
        <f>HYPERLINK("https://www.somogyi.hu/product/home-skl-12-sokristalylampa-fa-talp-e14-foglalattal-1-5-m-tapkabel-kapcsoloval-1-2-kg-tomegu-15-w-os-izzo-tartozek-230-v-skl-12-14378","https://www.somogyi.hu/product/home-skl-12-sokristalylampa-fa-talp-e14-foglalattal-1-5-m-tapkabel-kapcsoloval-1-2-kg-tomegu-15-w-os-izzo-tartozek-230-v-skl-12-14378")</f>
        <v>0.0</v>
      </c>
      <c r="E545" s="7" t="n">
        <f>HYPERLINK("https://www.somogyi.hu/data/img/product_main_images/small/14378.jpg","https://www.somogyi.hu/data/img/product_main_images/small/14378.jpg")</f>
        <v>0.0</v>
      </c>
      <c r="F545" s="2" t="inlineStr">
        <is>
          <t>5998250341200</t>
        </is>
      </c>
      <c r="G545" s="4" t="inlineStr">
        <is>
          <t>Hogyan teremthet otthonában nyugodt és harmóniát sugárzó légkört természetes fényekkel? A Home SKL 12 sókristálylámpa nem csupán dekorációs elem, hanem az otthon melegének és a kiegyensúlyozott hangulat megteremtésének tökéletes eszköze. A Himalájából származó természetes sókristályok és a meleg fény együttese különleges atmoszférát teremt, amely pozitívan hat az otthon minden lakójára.
Természetes anyagok és egyedi megjelenés
Ez a sókristálylámpa egyedi, természetes sziklaformájú kialakítással rendelkezik, amely harmonikusan illeszkedik bármilyen enteriőrbe. A lámpatestet masszív, mégis esztétikus fa talp tartja, amely stabil alapot biztosít és tovább emeli a lámpa természetes szépségét. A sókristály súlya 1-2 kg, így megfelelő méretű ahhoz, hogy elegáns hangsúlyt adjon bármely helyiségnek.
Funkcionális és praktikus kialakítás
A lámpa E14-es foglalattal rendelkezik, amelybe a csomagban található 15 W-os izzó könnyen becsavarható. A lámpa 230 V-os tápellátással működik, a 1,5 méter hosszú tápkábel pedig kapcsolóval ellátott, így kényelmesen és egyszerűen használható. A természetes sókristály kellemes meleg fénye nyugodt légkört teremt, legyen szó esti pihenésről, relaxációról vagy egyszerűen az otthoni környezet szépítéséről.
Pozitív hatás a közérzetre
A Himalájai sókristályokat évszázadok óta ismerik jótékony hatásaikról. A lámpa fénye nemcsak megnyugtatja a lelket, hanem hozzájárulhat a levegő minőségének javításához is. Ideális választás hálószobába, nappaliba vagy irodába, ahol egyensúlyt és harmóniát szeretne teremteni.
Könnyen használható és tartós megoldás
A Home SKL 12 sókristálylámpa hosszú élettartamú, energiatakarékos izzóval érkezik, amely megbízható teljesítményt nyújt. A természetes anyagok tartóssága és a masszív fa talp biztosítja, hogy a lámpa hosszú távon is megőrizze minőségét és esztétikai értékét.
Miért válassza a Home SKL 12 sókristálylámpát?
Ez a lámpa tökéletes kombinációja a természetes szépségnek és a funkcionalitásnak. Nemcsak vizuálisan vonzó, hanem a mindennapok harmóniájához is hozzájárul. A természetes sókristályból készült szikla és a fa talp prémium minőséget képvisel, amely minden otthon dísze lehet.
Teremtsen otthonában nyugodt és meleg légkört a Home SKL 12 sókristálylámpával, és élvezze a természetes fények és anyagok nyugtató hatását minden nap!</t>
        </is>
      </c>
    </row>
    <row r="546">
      <c r="A546" s="6" t="inlineStr">
        <is>
          <t xml:space="preserve">   Egészség, szépség / Hajszárító</t>
        </is>
      </c>
      <c r="B546" s="6" t="inlineStr">
        <is>
          <t/>
        </is>
      </c>
      <c r="C546" s="6" t="inlineStr">
        <is>
          <t/>
        </is>
      </c>
      <c r="D546" s="6" t="inlineStr">
        <is>
          <t/>
        </is>
      </c>
      <c r="E546" s="6" t="inlineStr">
        <is>
          <t/>
        </is>
      </c>
      <c r="F546" s="6" t="inlineStr">
        <is>
          <t/>
        </is>
      </c>
      <c r="G546" s="6" t="inlineStr">
        <is>
          <t/>
        </is>
      </c>
    </row>
    <row r="547">
      <c r="A547" s="3" t="inlineStr">
        <is>
          <t>HG HSZ 18</t>
        </is>
      </c>
      <c r="B547" s="2" t="inlineStr">
        <is>
          <t>Home HG HSZ 18 hajszárító, teljesítmény 1400 W, becsukható nyél, két fokozat, szűkítő, fekete</t>
        </is>
      </c>
      <c r="C547" s="1" t="n">
        <v>5690.0</v>
      </c>
      <c r="D547" s="7" t="n">
        <f>HYPERLINK("https://www.somogyi.hu/product/home-hg-hsz-18-hajszarito-teljesitmeny-1400-w-becsukhato-nyel-ket-fokozat-szukito-fekete-hg-hsz-18-16786","https://www.somogyi.hu/product/home-hg-hsz-18-hajszarito-teljesitmeny-1400-w-becsukhato-nyel-ket-fokozat-szukito-fekete-hg-hsz-18-16786")</f>
        <v>0.0</v>
      </c>
      <c r="E547" s="7" t="n">
        <f>HYPERLINK("https://www.somogyi.hu/data/img/product_main_images/small/16786.jpg","https://www.somogyi.hu/data/img/product_main_images/small/16786.jpg")</f>
        <v>0.0</v>
      </c>
      <c r="F547" s="2" t="inlineStr">
        <is>
          <t>5999084948184</t>
        </is>
      </c>
      <c r="G547" s="4" t="inlineStr">
        <is>
          <t>Szeretne rövid idő alatt tökéletes frizurát varázsolni magának? A Home HG HSZ 18 hajszárító professzionális teljesítménnyel, 1400 W-os erővel, gyorsan és hatékonyan szárítja meg haját.
A praktikus, becsukható nyéllel a hajszárító nem csak otthon, de utazások során is használható, könnyedén elfér csomagjában. A készülék akár fel is akasztható, így helytakarékos tárolása garantált. Két választható fokozata lehetővé teszi, hogy minden hajtípushoz megtalálja a legmegfelelőbb beállítást. A szűkítő, mely koncentrált légáramot biztosít, tökéletes választás lehet a pontos, és gyors hajformázás során. Méretével, mely mindössze 19 x 23 x 7,5 cm, a Home HG HSZ 18 hajszárító nem foglal el sok helyet, mégis kiváló teljesítményt nyújt.
Legyen minden nap gyönyörű frizurája! Válassza a Home HG HSZ 18 hajszárítót a ragyogó és egészséges hajért!</t>
        </is>
      </c>
    </row>
    <row r="548">
      <c r="A548" s="3" t="inlineStr">
        <is>
          <t>HG HSZ 22</t>
        </is>
      </c>
      <c r="B548" s="2" t="inlineStr">
        <is>
          <t>Home HG HSZ 22 hajszárító,  teljesítmény 2200 W, 2 sebességfokozat, 3 hőmérséklet-fokozat, hideglevegő-funkció, szűkítő, fekete</t>
        </is>
      </c>
      <c r="C548" s="1" t="n">
        <v>8090.0</v>
      </c>
      <c r="D548" s="7" t="n">
        <f>HYPERLINK("https://www.somogyi.hu/product/home-hg-hsz-22-hajszarito-teljesitmeny-2200-w-2-sebessegfokozat-3-homerseklet-fokozat-hideglevego-funkcio-szukito-fekete-hg-hsz-22-16597","https://www.somogyi.hu/product/home-hg-hsz-22-hajszarito-teljesitmeny-2200-w-2-sebessegfokozat-3-homerseklet-fokozat-hideglevego-funkcio-szukito-fekete-hg-hsz-22-16597")</f>
        <v>0.0</v>
      </c>
      <c r="E548" s="7" t="n">
        <f>HYPERLINK("https://www.somogyi.hu/data/img/product_main_images/small/16597.jpg","https://www.somogyi.hu/data/img/product_main_images/small/16597.jpg")</f>
        <v>0.0</v>
      </c>
      <c r="F548" s="2" t="inlineStr">
        <is>
          <t>5999084946296</t>
        </is>
      </c>
      <c r="G548" s="4" t="inlineStr">
        <is>
          <t>Szeretné, ha minden reggel tökéletes lenne a frizurája, mintha most jött volna ki a fodrásztól? A Home HG HSZ 22 hajszárító a magas, 1800-2200 W-os teljesítményével garantálja, hogy haja gyorsan és hatékonyan megszárad.
A változatos beállításoknak köszönhetően két különböző sebességfokozat közül választhat, és három hőmérséklet-fokozat áll rendelkezésére a hajának ideális szárításához. Az innovatív hideglevegő-funkcióval pedig biztosíthatja, hogy a hajformázása tartós és természetes legyen. A készülék felakasztható kialakítással is rendelkezik, ami a tárolást könnyíti meg, valamint a szűkítő segítségével pedig koncentrált légáramot biztosít, így a hajformázás egyszerűbb és precízebb lesz. A kompakt méret, mely 30x26x9 cm, kiváló választás otthoni használatra és utazásra egyaránt.
Merjen nagyot álmodni hajformázás terén! A Home HG HSZ 22 hajszárítóval minden nap remekül indulhat!</t>
        </is>
      </c>
    </row>
    <row r="549">
      <c r="A549" s="6" t="inlineStr">
        <is>
          <t xml:space="preserve">   Egészség, szépség / Személymérleg</t>
        </is>
      </c>
      <c r="B549" s="6" t="inlineStr">
        <is>
          <t/>
        </is>
      </c>
      <c r="C549" s="6" t="inlineStr">
        <is>
          <t/>
        </is>
      </c>
      <c r="D549" s="6" t="inlineStr">
        <is>
          <t/>
        </is>
      </c>
      <c r="E549" s="6" t="inlineStr">
        <is>
          <t/>
        </is>
      </c>
      <c r="F549" s="6" t="inlineStr">
        <is>
          <t/>
        </is>
      </c>
      <c r="G549" s="6" t="inlineStr">
        <is>
          <t/>
        </is>
      </c>
    </row>
    <row r="550">
      <c r="A550" s="3" t="inlineStr">
        <is>
          <t>HG FM 12</t>
        </is>
      </c>
      <c r="B550" s="2" t="inlineStr">
        <is>
          <t>Home HG FM 12 fürdőszobai mérleg, méréshatár 180 kg, mérési pontosság 100 g, LCD kijelző</t>
        </is>
      </c>
      <c r="C550" s="1" t="n">
        <v>4990.0</v>
      </c>
      <c r="D550" s="7" t="n">
        <f>HYPERLINK("https://www.somogyi.hu/product/home-hg-fm-12-furdoszobai-merleg-mereshatar-180-kg-meresi-pontossag-100-g-lcd-kijelzo-hg-fm-12-17552","https://www.somogyi.hu/product/home-hg-fm-12-furdoszobai-merleg-mereshatar-180-kg-meresi-pontossag-100-g-lcd-kijelzo-hg-fm-12-17552")</f>
        <v>0.0</v>
      </c>
      <c r="E550" s="7" t="n">
        <f>HYPERLINK("https://www.somogyi.hu/data/img/product_main_images/small/17552.jpg","https://www.somogyi.hu/data/img/product_main_images/small/17552.jpg")</f>
        <v>0.0</v>
      </c>
      <c r="F550" s="2" t="inlineStr">
        <is>
          <t>5999084955748</t>
        </is>
      </c>
      <c r="G550" s="4" t="inlineStr">
        <is>
          <t>Milyen lenne, ha egy mérleg nem csak pontos, de intelligens is lenne? A Home HG FM 12 fürdőszobai mérleg precízen méri a súlyt, ezt akár 100 gramm pontossággal teszi a 180 kg-os méréshatárig. Az automatikus ki- és bekapcsolásnak köszönhetően energiatakarékos és rendkívül felhasználóbarát.
A kijelzőn látható elemállapot- és túlterheltség jelzésnek hála, mindig tájékozott lesz az eszköz állapotáról. A 62 x 26 mm-es LCD kijelző garantálja, hogy minden adatot könnyedén leolvashasson. Ne aggódjon a tápellátás miatt: a mérleg 2 x 1,5 V (AAA) elemmel működik, így nemcsak könnyen cserélhető, de praktikus is. A 28 x 28 x 2 cm-es méretű kialakítás pedig stílusos és minimalista, tökéletesen illeszkedik minden fürdőszobába.
Ne hagyja ki a lehetőséget, hogy a fürdőszobájában is az elegancia és a modern technológia találkozzon: válassza a Home HG FM 12 fürdőszobai mérleget!</t>
        </is>
      </c>
    </row>
    <row r="551">
      <c r="A551" s="3" t="inlineStr">
        <is>
          <t>HG FMZ 18</t>
        </is>
      </c>
      <c r="B551" s="2" t="inlineStr">
        <is>
          <t>Home HG FMZ 18 fürdőszobai mérleg, méréshatár 180 kg, mérési pontosság 100 g, LCD kijelző, testzsír, testhidratáltság, izomtömeg meghatározás</t>
        </is>
      </c>
      <c r="C551" s="1" t="n">
        <v>7290.0</v>
      </c>
      <c r="D551" s="7" t="n">
        <f>HYPERLINK("https://www.somogyi.hu/product/home-hg-fmz-18-furdoszobai-merleg-mereshatar-180-kg-meresi-pontossag-100-g-lcd-kijelzo-testzsir-testhidrataltsag-izomtomeg-meghatarozas-hg-fmz-18-17767","https://www.somogyi.hu/product/home-hg-fmz-18-furdoszobai-merleg-mereshatar-180-kg-meresi-pontossag-100-g-lcd-kijelzo-testzsir-testhidrataltsag-izomtomeg-meghatarozas-hg-fmz-18-17767")</f>
        <v>0.0</v>
      </c>
      <c r="E551" s="7" t="n">
        <f>HYPERLINK("https://www.somogyi.hu/data/img/product_main_images/small/17767.jpg","https://www.somogyi.hu/data/img/product_main_images/small/17767.jpg")</f>
        <v>0.0</v>
      </c>
      <c r="F551" s="2" t="inlineStr">
        <is>
          <t>5999084957896</t>
        </is>
      </c>
      <c r="G551" s="4" t="inlineStr">
        <is>
          <t>Kíváncsi arra, milyen az igazán okos fürdőszobai mérleg? A Home HG FMZ 18 nem csak a súlyát méri pontosan 0,1 kg-os pontossággal a 180 kg-os határig, de mélyebb betekintést nyújt testének állapotába is. Testzsír, testhidratáltság, izomtömeg és csonttömeg – ezek a paraméterek már mind megjelennek az LCD kijelzőn.
Az automatikus be- és kikapcsolással a mérleg mindig akkor áll rendelkezésre, amikor szükség van rá. Az elemállapot- és túlterheltség-kijelzéssel nem érheti meglepetés. A memória funkció lehetővé teszi 10 felhasználó adatainak tárolását, így az egész család számára ideális választás. Rugalmasan választható mérési mértékegység (kg, lb, st) gondoskodik arról, hogy mindenki számára a legjobb használhatóságot nyújtsa. Bár a 2 x 1,5 V (AAA) ceruzaelem nem tartozék, a mérleg mérete, mely 30 x 30 cm, tökéletesen illeszkedik minden fürdőszobai környezetbe.
Élje át Ön is, milyen, amikor a technológia és az egészségtudatosság találkozik: válassza a Home HG FMZ 18 fürdőszobai mérleget!</t>
        </is>
      </c>
    </row>
    <row r="552">
      <c r="A552" s="6" t="inlineStr">
        <is>
          <t xml:space="preserve">   Egészség, szépség / Légtisztító</t>
        </is>
      </c>
      <c r="B552" s="6" t="inlineStr">
        <is>
          <t/>
        </is>
      </c>
      <c r="C552" s="6" t="inlineStr">
        <is>
          <t/>
        </is>
      </c>
      <c r="D552" s="6" t="inlineStr">
        <is>
          <t/>
        </is>
      </c>
      <c r="E552" s="6" t="inlineStr">
        <is>
          <t/>
        </is>
      </c>
      <c r="F552" s="6" t="inlineStr">
        <is>
          <t/>
        </is>
      </c>
      <c r="G552" s="6" t="inlineStr">
        <is>
          <t/>
        </is>
      </c>
    </row>
    <row r="553">
      <c r="A553" s="3" t="inlineStr">
        <is>
          <t>AIR 50/S</t>
        </is>
      </c>
      <c r="B553" s="2" t="inlineStr">
        <is>
          <t>Home AIR 50/S szűrő AIR 50 légtisztítóhoz, H13 szűrési szint</t>
        </is>
      </c>
      <c r="C553" s="1" t="n">
        <v>10390.0</v>
      </c>
      <c r="D553" s="7" t="n">
        <f>HYPERLINK("https://www.somogyi.hu/product/home-air-50-s-szuro-air-50-legtisztitohoz-h13-szuresi-szint-air-50-s-17261","https://www.somogyi.hu/product/home-air-50-s-szuro-air-50-legtisztitohoz-h13-szuresi-szint-air-50-s-17261")</f>
        <v>0.0</v>
      </c>
      <c r="E553" s="7" t="n">
        <f>HYPERLINK("https://www.somogyi.hu/data/img/product_main_images/small/17261.jpg","https://www.somogyi.hu/data/img/product_main_images/small/17261.jpg")</f>
        <v>0.0</v>
      </c>
      <c r="F553" s="2" t="inlineStr">
        <is>
          <t>5999084952839</t>
        </is>
      </c>
      <c r="G553" s="4" t="inlineStr">
        <is>
          <t>Hogyan biztosíthatja otthonában a tiszta és friss levegőt egyszerűen és hatékonyan? A Home AIR 50/S szűrő az AIR 50 légtisztítóhoz készült, hogy garantálja a levegő maximális tisztaságát és egészségbarát minőségét. A H13 szűrési szint lehetővé teszi a levegőben található szennyeződések, allergének és szagok hatékony eltávolítását, így otthona mindig kellemes és biztonságos környezet maradhat.
Fejlett szűrési technológia a tisztább levegőért
A szűrő háromrétegű rendszere, amely előszűrőt, HEPA-szűrőt és szénszűrőt tartalmaz, kivételes hatékonyságot nyújt. Az előszűrő a nagyobb szennyeződéseket, például port és szőrszálakat távolítja el, míg a H13-as HEPA-szűrő a legkisebb, akár 0,3 mikron méretű részecskéket is kiszűri, beleértve az allergéneket, polleneket és baktériumokat. A szénszűrő semlegesíti a kellemetlen szagokat és vegyi anyagokat, így friss és tiszta levegőt biztosít minden helyiségben.
Kompakt és precíz kialakítás
A szűrő mérete Ø215 x 256 mm, amely pontosan illeszkedik az AIR 50 légtisztítóhoz, így garantált a maximális teljesítmény és a zavartalan működés. A szűrő cseréje egyszerű és gyors, így mindig biztosíthatja légtisztítója optimális működését.
Egészségbarát környezet otthonában vagy irodájában
Ez a szűrő különösen ajánlott azok számára, akik allergiától vagy légúti betegségektől szenvednek, mivel hatékonyan csökkenti a levegőben található irritáló anyagok mennyiségét. Ideális választás hálószobákba, nappalikba, irodákba és más zárt helyiségekbe, ahol a tiszta levegő elengedhetetlen.
Tartós és hatékony megoldás
A Home AIR 50/S szűrő kiváló minőségű anyagokból készült, így hosszú távon is megbízható működést biztosít. Az optimális szűrési teljesítmény érdekében javasolt rendszeresen ellenőrizni és szükség esetén cserélni a szűrőt.
Miért válassza a Home AIR 50/S szűrőt?
Ez a szűrő nemcsak hatékonyan javítja a levegő minőségét, hanem hozzájárul otthona kényelméhez és egészséges légköréhez is. A háromrétegű szűrési rendszer és a H13 szűrési szint biztosítja, hogy családja mindig tiszta és biztonságos környezetben élhessen.
Tegyen lépéseket a tisztább levegő érdekében a Home AIR 50/S szűrő segítségével, és élvezze a frissesség érzését minden lélegzetvétellel!</t>
        </is>
      </c>
    </row>
    <row r="554">
      <c r="A554" s="3" t="inlineStr">
        <is>
          <t>AIR 18 WIFI</t>
        </is>
      </c>
      <c r="B554" s="2" t="inlineStr">
        <is>
          <t>Home AIR 18 WIFI légtisztító, ajánlott szobaméret: max. 18 m2, légszállítás: 150 m3/óra, HEPA-szűrő, TUYA smart kompatibilis, anion funkció</t>
        </is>
      </c>
      <c r="C554" s="1" t="n">
        <v>39990.0</v>
      </c>
      <c r="D554" s="7" t="n">
        <f>HYPERLINK("https://www.somogyi.hu/product/home-air-18-wifi-legtisztito-ajanlott-szobameret-max-18-m2-legszallitas-150-m3-ora-hepa-szuro-tuya-smart-kompatibilis-anion-funkcio-air-18-wifi-17774","https://www.somogyi.hu/product/home-air-18-wifi-legtisztito-ajanlott-szobameret-max-18-m2-legszallitas-150-m3-ora-hepa-szuro-tuya-smart-kompatibilis-anion-funkcio-air-18-wifi-17774")</f>
        <v>0.0</v>
      </c>
      <c r="E554" s="7" t="n">
        <f>HYPERLINK("https://www.somogyi.hu/data/img/product_main_images/small/17774.jpg","https://www.somogyi.hu/data/img/product_main_images/small/17774.jpg")</f>
        <v>0.0</v>
      </c>
      <c r="F554" s="2" t="inlineStr">
        <is>
          <t>5999084957964</t>
        </is>
      </c>
      <c r="G554" s="4" t="inlineStr">
        <is>
          <t>Szeretne egy intelligens és hatékony légtisztítót a pollenszezonra? Home AIR 18 WIFI légtisztító megbízható társa lesz otthona levegőjének megtisztításában
A Home AIR 18 WIFI légtisztító minden funkciója arra lett tervezve, hogy otthona levegője tisztább és egészségesebb legyen. A készülék TUYA smart applikációval vezérelhető, így bárhonnan irányíthatja, akár távolról is, ami páratlan kényelmet nyújt a mindennapokban. A 150 m³/óra légszállítási kapacitás és a HEPA-szűrő együttesen garantálják, hogy a kisebb, akár 18 m²-es helyiségek levegője gyorsan és hatékonyan megtisztuljon a káros részecskéktől. A készülék kezelése egyszerű, az érintőgombok segítségével könnyedén választhat a magas, közepes vagy alacsony ventilátorsebességek között, és az anion funkcióval tovább javíthatja a levegő minőségét.
A szűrőcsere-figyelmeztető rendszer a készüléken folyamatosan tájékoztatja a szűrő állapotáról, a hátralévő napok számát pedig az applikációban követheti nyomon, így biztosítva, hogy a légtisztító mindig a legjobb hatékonysággal működjön. A kiegészítő légszűrő (AIR 18 WIFI/S) biztosítja, hogy a szűrőcsere egyszerű és gyors legyen. A készülék kompakt méretei (∅213 x 280 mm) és alacsony energiafogyasztása (230 V~ / 50 Hz / 28 W) lehetővé teszik, hogy szinte bármelyik helyiségben diszkréten működjön.
Tegye otthonát okosabbá és élhetőbbé a Home AIR 18 WIFI légtisztítóval, amely nemcsak tisztítja, de okosan gondoskodik otthona levegőjéről. Rendelje meg még ma, és tapasztalja meg a különbséget!</t>
        </is>
      </c>
    </row>
    <row r="555">
      <c r="A555" s="3" t="inlineStr">
        <is>
          <t>AIR 20/S</t>
        </is>
      </c>
      <c r="B555" s="2" t="inlineStr">
        <is>
          <t>Home AIR 20/S szűrőkészlet az AIR 20 készülékhez</t>
        </is>
      </c>
      <c r="C555" s="1" t="n">
        <v>2690.0</v>
      </c>
      <c r="D555" s="7" t="n">
        <f>HYPERLINK("https://www.somogyi.hu/product/home-air-20-s-szurokeszlet-az-air-20-keszulekhez-air-20-s-13578","https://www.somogyi.hu/product/home-air-20-s-szurokeszlet-az-air-20-keszulekhez-air-20-s-13578")</f>
        <v>0.0</v>
      </c>
      <c r="E555" s="7" t="n">
        <f>HYPERLINK("https://www.somogyi.hu/data/img/product_main_images/small/13578.jpg","https://www.somogyi.hu/data/img/product_main_images/small/13578.jpg")</f>
        <v>0.0</v>
      </c>
      <c r="F555" s="2" t="inlineStr">
        <is>
          <t>5999084916305</t>
        </is>
      </c>
      <c r="G555" s="4" t="inlineStr">
        <is>
          <t>Hogyan garantálhatja otthonában a tiszta és friss levegőt a lehető leghatékonyabb módon? A Home AIR 20/S szűrőkészlet kifejezetten az AIR 20 légtisztítóhoz készült, hogy biztosítsa a levegő kiváló minőségét otthonában vagy munkahelyén. Ez a 4 lépcsős szűrőrendszer hatékonyan távolítja el a levegőből a szennyeződéseket, allergéneket és szagokat, így tisztább és egészségesebb környezetet teremt az egész család számára.
4 lépcsős szűrőrendszer a maximális tisztaságért
Ez a szűrőkészlet többféle szennyeződést képes eltávolítani a levegőből a négy különböző szűrőréteg segítségével. A pontosan illeszkedő szűrők méretei 65 x 95 x 25 mm és 65 x 95 x 40 mm, amelyek garantálják az AIR 20 légtisztító zavartalan működését. A szűrőrendszer különféle rétegei egymással együttműködve biztosítják, hogy a por, a pollen, a baktériumok, a vegyi anyagok és a kellemetlen szagok egyaránt kiszűrésre kerüljenek.
Sokoldalú védelem az otthonában
Ez a szűrőkészlet ideális választás allergiás, asztmás vagy légúti problémákkal küzdők számára, hiszen hatékonyan csökkenti a levegőben található irritáló anyagokat. A légtisztító rendszer a négy szűrőfázisnak köszönhetően nemcsak tiszta levegőt biztosít, hanem hozzájárul a kellemesebb, egészségesebb életkörülmények megteremtéséhez.
Egyszerű telepítés és karbantartás
A szűrők cseréje rendkívül egyszerű, így biztosíthatja légtisztítója folyamatos hatékony működését. A szűrőkészlet hosszú élettartammal rendelkezik, így gazdaságos és környezetbarát megoldást nyújt az otthoni levegő tisztítására.
Kiváló minőség és megbízhatóság
A Home AIR 20/S szűrőkészlet precízen kialakított rétegei biztosítják a tökéletes illeszkedést és a maximális szűrési teljesítményt. Az AIR 20 légtisztítóval való kompatibilitása garantálja, hogy készüléke mindig a legjobb hatékonysággal működjön.
Miért válassza a Home AIR 20/S szűrőkészletet?
Ez a szűrőkészlet nemcsak a levegő tisztítását teszi lehetővé, hanem az egészség és a kényelem megőrzéséhez is hozzájárul. A négylépcsős szűrőrendszer kiváló védelmet nyújt a levegőben található szennyeződésekkel szemben, miközben otthona levegőjét frissebbé és tisztábbá varázsolja.
Tegye otthonát még kényelmesebbé és egészségesebbé a Home AIR 20/S szűrőkészlettel, és élvezze a tiszta levegő minden előnyét nap mint nap!</t>
        </is>
      </c>
    </row>
    <row r="556">
      <c r="A556" s="3" t="inlineStr">
        <is>
          <t>AIR 18 WIFI/S</t>
        </is>
      </c>
      <c r="B556" s="2" t="inlineStr">
        <is>
          <t>Home AIR 18 WIFI/S szűrő, szűrő AIR 18 WIFI légtisztítóhoz, HEPA-szűrővel</t>
        </is>
      </c>
      <c r="C556" s="1" t="n">
        <v>6090.0</v>
      </c>
      <c r="D556" s="7" t="n">
        <f>HYPERLINK("https://www.somogyi.hu/product/home-air-18-wifi-s-szuro-szuro-air-18-wifi-legtisztitohoz-hepa-szurovel-air-18-wifi-s-17775","https://www.somogyi.hu/product/home-air-18-wifi-s-szuro-szuro-air-18-wifi-legtisztitohoz-hepa-szurovel-air-18-wifi-s-17775")</f>
        <v>0.0</v>
      </c>
      <c r="E556" s="7" t="n">
        <f>HYPERLINK("https://www.somogyi.hu/data/img/product_main_images/small/17775.jpg","https://www.somogyi.hu/data/img/product_main_images/small/17775.jpg")</f>
        <v>0.0</v>
      </c>
      <c r="F556" s="2" t="inlineStr">
        <is>
          <t>5999084957971</t>
        </is>
      </c>
      <c r="G556" s="4" t="inlineStr">
        <is>
          <t>Szeretné, ha légtisztítója mindig a csúcsteljesítményt nyújtaná? A Home AIR 18 WIFI/S szűrő a biztos választás az optimális levegőminőség érdekében.
Ez a kiváló minőségű, kifejezetten az AIR 18 WIFI légtisztítóhoz tervezett szűrő tökéletes illeszkedést és hatékony légtisztítást biztosít. A beépített HEPA-szűrőnek köszönhetően a legapróbb szennyeződéseket és allergéneket is képes kiszűrni, így garantálja a friss és tiszta levegőt otthonában. A szűrő mérete, mely ∅175 x 135 mm, tökéletesen illeszkedik a légtisztító berendezéshez, ezzel is biztosítva a hibátlan működést.
Ne kössön kompromisszumokat a levegő minőségében! Cserélje le időben a Home AIR 18 WIFI/S szűrőjét, és élvezze a tiszta levegőt nap mint nap!</t>
        </is>
      </c>
    </row>
    <row r="557">
      <c r="A557" s="3" t="inlineStr">
        <is>
          <t>AIR 50</t>
        </is>
      </c>
      <c r="B557" s="2" t="inlineStr">
        <is>
          <t>Home AIR 50 légtisztító, ajánlott szobaméret: max. 50 m2, légszállítás: 400 m3/óra, előszűrő, HEPA-szűrő, szénszűrő, 3 fokozat, PM2,5 szenzor</t>
        </is>
      </c>
      <c r="C557" s="1" t="n">
        <v>63990.0</v>
      </c>
      <c r="D557" s="7" t="n">
        <f>HYPERLINK("https://www.somogyi.hu/product/home-air-50-legtisztito-ajanlott-szobameret-max-50-m2-legszallitas-400-m3-ora-eloszuro-hepa-szuro-szenszuro-3-fokozat-pm2-5-szenzor-air-50-17260","https://www.somogyi.hu/product/home-air-50-legtisztito-ajanlott-szobameret-max-50-m2-legszallitas-400-m3-ora-eloszuro-hepa-szuro-szenszuro-3-fokozat-pm2-5-szenzor-air-50-17260")</f>
        <v>0.0</v>
      </c>
      <c r="E557" s="7" t="n">
        <f>HYPERLINK("https://www.somogyi.hu/data/img/product_main_images/small/17260.jpg","https://www.somogyi.hu/data/img/product_main_images/small/17260.jpg")</f>
        <v>0.0</v>
      </c>
      <c r="F557" s="2" t="inlineStr">
        <is>
          <t>5999084952822</t>
        </is>
      </c>
      <c r="G557" s="4" t="inlineStr">
        <is>
          <t>Elégedetlen otthona levegőminőségével? Esetleg pollen érzékeny és szeretne lakásából virágpormentes életteret kialakítani? A Home AIR 50 légtisztító ebben segít Önnek.
A Home AIR 50 légtisztító úgy lett kialakítva, hogy tisztítsa és frissítse a levegőt akár 50 m²-es helyiségekben is, biztosítva ezzel a család minden tagja számára az egészséges belső légkört. Az eszköz különböző szűrési szintjei, beleértve az előszűrőt, HEPA-szűrőt és a szénszűrőt, minden lélegzetvétellel tisztábbá teszik a környezetet, miközben az UV-C LED technológia biztosítja a baktériumok és vírusok elleni védelmet. Óránként 400 m3 képes megtisztítani H 13 szűrési szinten. Az intelligens szenzortechnológiával felszerelt légtisztító a levegőminőség változásait folyamatosan monitorozza, PM2,5 részecskeszintet mérve, és színes fényjelzéssel tájékoztatja a felhasználókat a levegő aktuális állapotáról.
A különböző ventilátorsebességek — magas, közepes, alacsony és automata — lehetővé teszik, hogy mindenki megtalálja a számára ideális beállítást, míg az időzítő funkció (2/4/8 óra) tovább növeli a kényelmet. A gyerekzár és az éjszakai fény funkció gondoskodik arról, hogy a készülék éjszaka is biztonságosan és zavartalanul működjön. A szűrőcsere figyelmeztetés biztosítja, hogy mindig a legjobb hatékonysággal működjön a készülék. Amennyiben a légszűrő elhasználódott az AIR 50S légszűrővel biztosíthatja a folyamatos tiszta levegőminőséget
Fedezze fel a tiszta levegő új dimenzióját a Home AIR 50 légtisztítóval, és élvezze otthonában a frissesség érzetét minden nap!</t>
        </is>
      </c>
    </row>
    <row r="558">
      <c r="A558" s="6" t="inlineStr">
        <is>
          <t xml:space="preserve">   Egészség, szépség / Hajvágó, szakállvágó</t>
        </is>
      </c>
      <c r="B558" s="6" t="inlineStr">
        <is>
          <t/>
        </is>
      </c>
      <c r="C558" s="6" t="inlineStr">
        <is>
          <t/>
        </is>
      </c>
      <c r="D558" s="6" t="inlineStr">
        <is>
          <t/>
        </is>
      </c>
      <c r="E558" s="6" t="inlineStr">
        <is>
          <t/>
        </is>
      </c>
      <c r="F558" s="6" t="inlineStr">
        <is>
          <t/>
        </is>
      </c>
      <c r="G558" s="6" t="inlineStr">
        <is>
          <t/>
        </is>
      </c>
    </row>
    <row r="559">
      <c r="A559" s="3" t="inlineStr">
        <is>
          <t>HG TR 01</t>
        </is>
      </c>
      <c r="B559" s="2" t="inlineStr">
        <is>
          <t>Home HG TR 01 orrszőrnyíró, fülszőr- és szemöldökvágó, mikro-vágórendszer, elemes</t>
        </is>
      </c>
      <c r="C559" s="1" t="n">
        <v>3190.0</v>
      </c>
      <c r="D559" s="7" t="n">
        <f>HYPERLINK("https://www.somogyi.hu/product/home-hg-tr-01-orrszornyiro-fulszor-es-szemoldokvago-mikro-vagorendszer-elemes-hg-tr-01-17621","https://www.somogyi.hu/product/home-hg-tr-01-orrszornyiro-fulszor-es-szemoldokvago-mikro-vagorendszer-elemes-hg-tr-01-17621")</f>
        <v>0.0</v>
      </c>
      <c r="E559" s="7" t="n">
        <f>HYPERLINK("https://www.somogyi.hu/data/img/product_main_images/small/17621.jpg","https://www.somogyi.hu/data/img/product_main_images/small/17621.jpg")</f>
        <v>0.0</v>
      </c>
      <c r="F559" s="2" t="inlineStr">
        <is>
          <t>5999084956431</t>
        </is>
      </c>
      <c r="G559" s="4" t="inlineStr">
        <is>
          <t>Hogyan teheti gyorsan és egyszerűen ápoltabbá megjelenését otthona kényelmében? A Home HG TR 01 orrszőrnyíró és szemöldökvágó egy sokoldalú eszköz, amely az ápolt megjelenés elengedhetetlen kelléke lehet. Ez a kompakt készülék hatékonyan és biztonságosan távolítja el az orr- és fülszőrzetet, miközben precíz szemöldökformázást is lehetővé tesz. Az elemes működésnek köszönhetően bárhol könnyedén használható, így ideális választás a mindennapi higiénia fenntartásához.
Innovatív mikro-vágórendszer a precíz eredményekért
A készülék mikro-vágórendszerrel van ellátva, amely biztosítja a pontos és fájdalommentes szőrvágást. A lekerekített pengék kialakítása megakadályozza a bőrirritációt, így az eszköz kényelmesen használható az érzékeny területeken, mint például az orr- és fülnyílásokban. A kiegészítők közé tartozik két különböző méretű szemöldökfésű, amelyek lehetővé teszik a szemöldök gyors és pontos formázását.
Egyszerű használat és tisztítás
A tisztítókefe segítségével a készülék könnyen tisztán tartható, így higiénikus használatot biztosít minden alkalommal. A kompakt méret (∅2,5 x 16 cm) és a könnyű kialakítás megkönnyíti a kezelhetőséget és a tárolást, legyen szó otthoni vagy útközbeni használatról.
Praktikus és hordozható kialakítás
Az eszköz működéséhez csupán egy darab AA ceruzaelem szükséges (nem tartozék), így kábelek nélkül, szabadon használható bárhol és bármikor. A hordozhatósága miatt ideális választás utazásokhoz is, ahol a gyors és diszkrét használat különösen fontos lehet.
Sokoldalú funkciók a teljeskörű ápoltságért
A Home HG TR 01 nemcsak orr- és fülszőrzet nyírására alkalmas, hanem a szemöldök formázására is kiválóan használható. A többfunkciós kialakítás lehetővé teszi, hogy mindig ápolt és kifinomult megjelenést érjen el, bármilyen helyzetben.
Miért válassza a Home HG TR 01 orrszőrnyírót és szemöldökvágót?
Ez a készülék a precíz és gyors szőrvágás modern eszköze, amely a biztonság és a kényelem jegyében készült. Az innovatív mikro-vágórendszer, a praktikus kiegészítők és az elemes működés mind hozzájárulnak ahhoz, hogy ez az eszköz tökéletes választás legyen az igényes megjelenés érdekében.
Legyen mindig magabiztos és ápolt a Home HG TR 01 orrszőrnyíró és szemöldökvágóval – a tökéletes megoldás az igényes megjelenésért!</t>
        </is>
      </c>
    </row>
    <row r="560">
      <c r="A560" s="3" t="inlineStr">
        <is>
          <t>HG HS 12</t>
        </is>
      </c>
      <c r="B560" s="2" t="inlineStr">
        <is>
          <t>Home HG HS 12 haj- és testszőrnyíró készlet, vezetékes és vezeték nélküli használat, 5 cserélhető fej, 7 műanyag fésű, Li-ion akkumulátor</t>
        </is>
      </c>
      <c r="C560" s="1" t="n">
        <v>12990.0</v>
      </c>
      <c r="D560" s="7" t="n">
        <f>HYPERLINK("https://www.somogyi.hu/product/home-hg-hs-12-haj-es-testszornyiro-keszlet-vezetekes-es-vezetek-nelkuli-hasznalat-5-cserelheto-fej-7-muanyag-fesu-li-ion-akkumulator-hg-hs-12-17620","https://www.somogyi.hu/product/home-hg-hs-12-haj-es-testszornyiro-keszlet-vezetekes-es-vezetek-nelkuli-hasznalat-5-cserelheto-fej-7-muanyag-fesu-li-ion-akkumulator-hg-hs-12-17620")</f>
        <v>0.0</v>
      </c>
      <c r="E560" s="7" t="n">
        <f>HYPERLINK("https://www.somogyi.hu/data/img/product_main_images/small/17620.jpg","https://www.somogyi.hu/data/img/product_main_images/small/17620.jpg")</f>
        <v>0.0</v>
      </c>
      <c r="F560" s="2" t="inlineStr">
        <is>
          <t>5999084956424</t>
        </is>
      </c>
      <c r="G560" s="4" t="inlineStr">
        <is>
          <t>Ön szerint lehetséges egyetlen eszközzel a teljes testszőrzetet tökéletesre formázni? A Home HG HS 12 készlet ezt az álmot váltja valóra, amely a vezetékes és vezeték nélküli használat kombinációjával a legnagyobb rugalmasságot biztosítja.
Ez a kiváló minőségű készlet 5 cserélhető fejet kínál: egy széles, egy normál, és egy precíziós vágófejet, továbbá orrszőrnyírót és borotvát. Ezen kívül 7 különböző műanyag fésűt is talál a csomagban, melyekkel a haját 3, 6, 9, 12 mm-es hosszúságúra, illetve a szakállát 4, 6, 8 mm-es hosszúságúra nyírhatja.
A töltési állapotot jelző LED segítségével mindig tájékozott lehet az akkumulátor állapotáról. Az eszköz beépített Li-ion akkumulátorral rendelkezik, így 2 óra töltéssel 60 percig használhatja folyamatosan. A készlethez tartozó töltő és tárolóállvány, valamint a hálózati adapter további kényelmet biztosít a használat során.
A tökéletes formázásért és kényelemért válassza a Home HG HS 12 készletet! Teljen minden napja a tökéletes stílus jegyében!</t>
        </is>
      </c>
    </row>
    <row r="561">
      <c r="A561" s="6" t="inlineStr">
        <is>
          <t xml:space="preserve">   Egészség, szépség / Elektromos ágytakaró, lábmelegítő</t>
        </is>
      </c>
      <c r="B561" s="6" t="inlineStr">
        <is>
          <t/>
        </is>
      </c>
      <c r="C561" s="6" t="inlineStr">
        <is>
          <t/>
        </is>
      </c>
      <c r="D561" s="6" t="inlineStr">
        <is>
          <t/>
        </is>
      </c>
      <c r="E561" s="6" t="inlineStr">
        <is>
          <t/>
        </is>
      </c>
      <c r="F561" s="6" t="inlineStr">
        <is>
          <t/>
        </is>
      </c>
      <c r="G561" s="6" t="inlineStr">
        <is>
          <t/>
        </is>
      </c>
    </row>
    <row r="562">
      <c r="A562" s="3" t="inlineStr">
        <is>
          <t>UP117D</t>
        </is>
      </c>
      <c r="B562" s="2" t="inlineStr">
        <is>
          <t>Pekatherm UP117D elektromos melegítő lepedő, ágymelegítő, 60 W, poliészter, 3 fokozat, géppel is mosható, 170x90 cm</t>
        </is>
      </c>
      <c r="C562" s="1" t="n">
        <v>15990.0</v>
      </c>
      <c r="D562" s="7" t="n">
        <f>HYPERLINK("https://www.somogyi.hu/product/pekatherm-up117d-elektromos-melegito-lepedo-agymelegito-60-w-polieszter-3-fokozat-geppel-is-moshato-170x90-cm-up117d-18300","https://www.somogyi.hu/product/pekatherm-up117d-elektromos-melegito-lepedo-agymelegito-60-w-polieszter-3-fokozat-geppel-is-moshato-170x90-cm-up117d-18300")</f>
        <v>0.0</v>
      </c>
      <c r="E562" s="7" t="n">
        <f>HYPERLINK("https://www.somogyi.hu/data/img/product_main_images/small/18300.jpg","https://www.somogyi.hu/data/img/product_main_images/small/18300.jpg")</f>
        <v>0.0</v>
      </c>
      <c r="F562" s="2" t="inlineStr">
        <is>
          <t>8436531911225</t>
        </is>
      </c>
      <c r="G562" s="4" t="inlineStr">
        <is>
          <t>Hogyan teheti az éjszakákat kényelmesebbé és melegebbé a hideg hónapokban? A Pekatherm UP117D elektromos melegítő lepedő ideális megoldás mindazok számára, akik a hűvös időben is kellemesen meleg ágyba szeretnének feküdni. 
Ez az ágymelegítő gyorsan felmelegszik, és három különböző fűtési fokozattal rendelkezik, így Ön igényeinek megfelelően szabályozhatja a hőmérsékletet. Akár enyhe meleget, akár erőteljes fűtést szeretne, ezzel a melegítő lepedővel mindig az Ön számára legideálisabb hőmérsékletet érheti el. A 60 wattos teljesítménynek köszönhetően a lepedő energiatakarékos, így hosszabb használat mellett is alacsony energiafogyasztást biztosít. 
Anyaga kiváló minőségű poliészter, amely puha és kényelmes, ugyanakkor tartós és könnyen karbantartható. A lepedő mérete 170 x 90 cm, amely elegendő helyet biztosít, így Ön teljesen körbeölelve érezheti magát a melegben, bármilyen méretű ágyat is használjon. Az ágymelegítő egyik legnagyobb előnye, hogy kézzel és géppel egyaránt mosható, így könnyedén tisztán tartható. A fűtőelemek eltávolítása után a lepedő mosógépben is mosható, ami rendkívül praktikus megoldás a mindennapi használat során. 
A lepedő gyors felfűtési képessége lehetővé teszi, hogy akár néhány perc alatt kellemesen meleg ágy várja, így elkerülheti a hideg ágyba való fekvést.
A Pekatherm UP117D ágymelegítő egyszerűen kezelhető vezérlőegységgel rendelkezik, amellyel könnyedén állíthatja a fűtési fokozatokat. A tápellátást a szabványos 220-240 V-os hálózatról biztosítja, így bármilyen háztartásban használható.
Ne hagyja, hogy a hideg éjszakák kellemetlenek legyenek! Válassza a Pekatherm UP117D elektromos melegítő lepedőt, és élvezze a meleg, kényelmes ágy nyújtotta élményt minden este! Melegítse fel ágyát gyorsan és hatékonyan, miközben élvezi az energiatakarékos és könnyen karbantartható megoldást.</t>
        </is>
      </c>
    </row>
    <row r="563">
      <c r="A563" s="3" t="inlineStr">
        <is>
          <t>THA-HND-0014-G</t>
        </is>
      </c>
      <c r="B563" s="2" t="inlineStr">
        <is>
          <t>THAW THA-HND-0014-G újratölthető kézmelegítő, power bank funkcióval, nagy, 10.000 mAh kapacitás, újratölthető, 3 üzemmód, max. 60 °C</t>
        </is>
      </c>
      <c r="C563" s="1" t="n">
        <v>13590.0</v>
      </c>
      <c r="D563" s="7" t="n">
        <f>HYPERLINK("https://www.somogyi.hu/product/thaw-tha-hnd-0014-g-ujratoltheto-kezmelegito-power-bank-funkcioval-nagy-10-000-mah-kapacitas-ujratoltheto-3-uzemmod-max-60-c-tha-hnd-0014-g-19062","https://www.somogyi.hu/product/thaw-tha-hnd-0014-g-ujratoltheto-kezmelegito-power-bank-funkcioval-nagy-10-000-mah-kapacitas-ujratoltheto-3-uzemmod-max-60-c-tha-hnd-0014-g-19062")</f>
        <v>0.0</v>
      </c>
      <c r="E563" s="7" t="n">
        <f>HYPERLINK("https://www.somogyi.hu/data/img/product_main_images/small/19062.jpg","https://www.somogyi.hu/data/img/product_main_images/small/19062.jpg")</f>
        <v>0.0</v>
      </c>
      <c r="F563" s="2" t="inlineStr">
        <is>
          <t>5060945232435</t>
        </is>
      </c>
      <c r="G563" s="4" t="inlineStr">
        <is>
          <t>Hogyan teheti kényelmesebbé a hideg téli napokat egy multifunkciós kézmelegítő?
A THAW THA-HND-0014-G újratölthető kézmelegítő nemcsak a kezei melegen tartásáról gondoskodik, hanem power bankként is szolgál, így két funkciót egyesítve ideális társ a mindennapokban. A kiemelkedő, 10.000 mAh kapacitású akkumulátorral ez a készülék hosszan tartó meleget biztosít és még eszközeit is feltölti, amikor szüksége van rá.
Hosszan tartó melegítés A kézmelegítő három különböző üzemmódot kínál, hogy személyre szabottan állíthassa be a kívánt hőmérsékletet:
- Low (45 °C): akár 14,5 órán át tartó kellemes meleg.
- Medium (50 °C): kb. 11 órás üzemidővel az arany középút.
- High (60 °C): maximális hőmérséklet akár 8 órán keresztül.
Power bank funkció A beépített, nagy kapacitású akkumulátor nemcsak a kézmelegítő működéséhez ideális, hanem a power bank funkciónak köszönhetően telefonját, tabletjét vagy más eszközét is gyorsan feltöltheti. Ez különösen praktikus lehet hosszabb utazások, kirándulások során.
Kompakt és könnyen hordozható A kézmelegítő kompakt mérete (10,5 x 6,5 x 3 cm) és könnyű súlya (mindössze 215 g) lehetővé teszi, hogy könnyedén magával vigye bárhová. Ideális a zsebben, táskában való tároláshoz.
Egyszerű használat és tartozékok A mellékelt USB-C kábel és USB-C - USB-A adapter segítségével egyszerűen feltöltheti a készüléket, így mindig készen áll az újabb használatra. A beépített LED világítás extra kényelmet nyújt sötétben, például kempingezés vagy esti séta során.
Miért érdemes a THAW THA-HND-0014-G kézmelegítőt választani?
- Hosszan tartó, állítható hőmérséklet a maximális kényelem érdekében.
- Nagy kapacitású, 10.000 mAh akkumulátor, mely power bankként is funkcionál.
- Könnyen hordozható, kompakt kialakítás.
- Praktikus LED világítás és tartozék kábelek.
- Ideális ajándék a hideg hónapokra.
Ne hagyja, hogy a hideg megzavarja mindennapjait! Válassza a THAW THA-HND-0014-G kézmelegítőt, és élvezze a kényelmet és a melegséget egyszerre – bárhol, bármikor!</t>
        </is>
      </c>
    </row>
    <row r="564">
      <c r="A564" s="3" t="inlineStr">
        <is>
          <t>THA-BOD-0015-G</t>
        </is>
      </c>
      <c r="B564" s="2" t="inlineStr">
        <is>
          <t>THAW THA-BOD-0015-G fűthető ülőpárna powerbankkal, 10.000 mAh kapacitás, 3 üzemmód, újratölthető</t>
        </is>
      </c>
      <c r="C564" s="1" t="n">
        <v>24090.0</v>
      </c>
      <c r="D564" s="7" t="n">
        <f>HYPERLINK("https://www.somogyi.hu/product/thaw-tha-bod-0015-g-futheto-uloparna-powerbankkal-10-000-mah-kapacitas-3-uzemmod-ujratoltheto-tha-bod-0015-g-18010","https://www.somogyi.hu/product/thaw-tha-bod-0015-g-futheto-uloparna-powerbankkal-10-000-mah-kapacitas-3-uzemmod-ujratoltheto-tha-bod-0015-g-18010")</f>
        <v>0.0</v>
      </c>
      <c r="E564" s="7" t="n">
        <f>HYPERLINK("https://www.somogyi.hu/data/img/product_main_images/small/18010.jpg","https://www.somogyi.hu/data/img/product_main_images/small/18010.jpg")</f>
        <v>0.0</v>
      </c>
      <c r="F564" s="2" t="inlineStr">
        <is>
          <t>5060063229553</t>
        </is>
      </c>
      <c r="G564" s="4" t="inlineStr">
        <is>
          <t>Előfordult már, hogy hideg helyeken kellett sok időt töltenie, és kényelmetlenül érezte magát? A THAW THA-BOD-0015-G fűthető ülőpárna megoldást kínál erre a problémára, hiszen kényelmet és melegséget biztosít bármilyen helyzetben. 
Ez a praktikus, újratölthető ülőpárna nemcsak otthon, hanem kültéren, munkahelyen vagy akár utazás során is használható. A fűthető ülőpárna a tartozék 10.000 mAh kapacitású powerbankkal működik, amely egyszerűen újratölthető és órákig biztosítja a meleget. Az eszköz három különböző hőmérsékleti üzemmóddal rendelkezik: alacsony (43°C), közepes(52°C) és magas (58°C), így mindig kiválaszthatja az Ön számára legideálisabb hőfokot. A 38 x 38 x 5 cm-es méretnek köszönhetően a párna könnyen hordozható, és bármilyen székhez vagy ülőfelülethez illeszthető. Az egyszerű használat garantált, egyetlen gombnyomással szabályozhatja a hőmérsékletet, és akár 5 órán át élvezheti a kellemes meleget egyetlen töltéssel.
Ne hagyja, hogy a hideg elrontsa a napját! A THAW fűthető ülőpárna tökéletes választás, ha komfortot és praktikus megoldást keres a hűvös napokra. Rendelje meg most, és tapasztalja meg a személyre szabott melegséget bárhol, bármikor!</t>
        </is>
      </c>
    </row>
    <row r="565">
      <c r="A565" s="3" t="inlineStr">
        <is>
          <t>THA-HND-0013-G</t>
        </is>
      </c>
      <c r="B565" s="2" t="inlineStr">
        <is>
          <t>THAW THA-HND-0013-G újratölthető kézmelegítő, powerbank funkcióval, nagy, 10.000 mAh kapacitás, újratölthető, 3 üzemmód, max. 60 °C</t>
        </is>
      </c>
      <c r="C565" s="1" t="n">
        <v>12690.0</v>
      </c>
      <c r="D565" s="7" t="n">
        <f>HYPERLINK("https://www.somogyi.hu/product/thaw-tha-hnd-0013-g-ujratoltheto-kezmelegito-powerbank-funkcioval-nagy-10-000-mah-kapacitas-ujratoltheto-3-uzemmod-max-60-c-tha-hnd-0013-g-18009","https://www.somogyi.hu/product/thaw-tha-hnd-0013-g-ujratoltheto-kezmelegito-powerbank-funkcioval-nagy-10-000-mah-kapacitas-ujratoltheto-3-uzemmod-max-60-c-tha-hnd-0013-g-18009")</f>
        <v>0.0</v>
      </c>
      <c r="E565" s="7" t="n">
        <f>HYPERLINK("https://www.somogyi.hu/data/img/product_main_images/small/18009.jpg","https://www.somogyi.hu/data/img/product_main_images/small/18009.jpg")</f>
        <v>0.0</v>
      </c>
      <c r="F565" s="2" t="inlineStr">
        <is>
          <t>5060063229508</t>
        </is>
      </c>
      <c r="G565" s="4" t="inlineStr">
        <is>
          <t>Hogyan teheti komfortosabbá a hideg napokat egyetlen praktikus eszközzel? A THAW THA-HND-0013-G újratölthető kézmelegítő nemcsak melegen tartja kezeit a leghidegebb időben, hanem powerbank funkciójának köszönhetően feltöltheti telefonját is. 
A beépített 10.000 mAh kapacitású akkumulátor lehetővé teszi, hogy ez az eszköz akár egy teljes napig is képes legyen kézmelegítőként működni. A három különböző üzemmód segítségével kiválaszthatja a legkényelmesebb hőfokot: a „Low” üzemmódban 46 °C-on akár 17 órán át élvezheti a meleget, a „Medium” fokozaton 53 °C-on 14 órán át használható, míg a „High” üzemmódban 60 °C-on akár 10 órán át biztosít kellemes hőérzetet.
Ez a kézmelegítő rendkívül praktikus méretének köszönhetően (10,5 x 7 x 3 cm), könnyen hordozható, így bárhová magával viheti, legyen szó téli sétáról, kirándulásról vagy sporteseményekről. A mindössze 220 grammos súlyával nem terheli a táskáját, és bármikor kéznél van, amikor szükség van rá. Az USB-C kábellel egyszerűen újratölthető, így mindig készen áll a következő használatra.
Ne hagyja, hogy a hideg korlátozza a szabadidős tevékenységeit! Szerezze be a THAW THA-HND-0013-G újratölthető kézmelegítőt, és élvezze a melegséget és a praktikus powerbank funkciót bárhol, bármikor.</t>
        </is>
      </c>
    </row>
    <row r="566">
      <c r="A566" s="3" t="inlineStr">
        <is>
          <t>F55</t>
        </is>
      </c>
      <c r="B566" s="2" t="inlineStr">
        <is>
          <t>Pekatherm F55 elektromos lábmelegítő, 100 W, poliészter, 3 fokozat, géppel is mosható betét, 27x30x23 cm</t>
        </is>
      </c>
      <c r="C566" s="1" t="n">
        <v>17490.0</v>
      </c>
      <c r="D566" s="7" t="n">
        <f>HYPERLINK("https://www.somogyi.hu/product/pekatherm-f55-elektromos-labmelegito-100-w-polieszter-3-fokozat-geppel-is-moshato-betet-27x30x23-cm-f55-18302","https://www.somogyi.hu/product/pekatherm-f55-elektromos-labmelegito-100-w-polieszter-3-fokozat-geppel-is-moshato-betet-27x30x23-cm-f55-18302")</f>
        <v>0.0</v>
      </c>
      <c r="E566" s="7" t="n">
        <f>HYPERLINK("https://www.somogyi.hu/data/img/product_main_images/small/18302.jpg","https://www.somogyi.hu/data/img/product_main_images/small/18302.jpg")</f>
        <v>0.0</v>
      </c>
      <c r="F566" s="2" t="inlineStr">
        <is>
          <t>8436531910556</t>
        </is>
      </c>
      <c r="G566" s="4" t="inlineStr">
        <is>
          <t>Szeretné melegen tartani lábait, még a leghidegebb napokon is? Pekatherm F55 elektromos lábmelegítő tökéletes választás mindazok számára, akik komfortot és meleget keresnek a hideg téli hónapokban. 
100 wattos teljesítményével gyorsan felmelegszik, így Ön néhány perc alatt élvezheti a kellemes melegséget. Akár otthon, akár munka közben, ez a lábmelegítő biztosítja, hogy lábai mindig melegben legyenek, ami különösen hasznos lehet hűvösebb helyiségekben vagy hosszabb ülőmunka során. A három különböző fűtési fokozat segítségével könnyedén beállíthatja a kívánt hőmérsékletet, így mindig az Ön kényelmének megfelelő melegséget élvezheti. A gyors felmelegedési funkció biztosítja, hogy ne kelljen hosszasan várnia a fűtésre, így rövid idő alatt kellemes hőmérsékletet biztosít a lábfeje számára.
A Pekatherm F55 lábmelegítő puha poliészter anyagból készült, amely kellemes tapintású, ugyanakkor tartós is. A belső betét kivehető, és kézzel vagy géppel is mosható, így a melegítő könnyen tisztán tartható, biztosítva a hosszan tartó kényelmet és higiénikus használatot. A mérete (27 x 30 x 23 cm) ideális, hogy a lábait kényelmesen behelyezze, miközben helytakarékosan használható bármelyik helyiségben. Ez a lábmelegítő szabványos 220-240 V-os hálózatról működik, így bármelyik otthonban vagy irodában könnyedén használható. A praktikus vezérlőegységgel egyszerűen választhatja ki a kívánt fűtési fokozatot, így mindig a legmegfelelőbb hőmérsékletet biztosíthatja magának.
Ne engedje, hogy a hideg tönkretegye a komfortérzetét! Válassza a Pekatherm F55 elektromos lábmelegítőt, és biztosítsa lábai számára a kellemes melegséget a legzordabb napokon is!</t>
        </is>
      </c>
    </row>
    <row r="567">
      <c r="A567" s="3" t="inlineStr">
        <is>
          <t>THA-FOT-0004-G</t>
        </is>
      </c>
      <c r="B567" s="2" t="inlineStr">
        <is>
          <t>THAW THA-FOT-0004-G egyszer használható lábujjmelegítő betét, 2db/csomag, felbontás után aktiválódik, 7 órán át meleg, 57 °C-ig melegszik, 40 csomag/display</t>
        </is>
      </c>
      <c r="C567" s="1" t="n">
        <v>609.0</v>
      </c>
      <c r="D567" s="7" t="n">
        <f>HYPERLINK("https://www.somogyi.hu/product/thaw-tha-fot-0004-g-egyszer-hasznalhato-labujjmelegito-betet-2db-csomag-felbontas-utan-aktivalodik-7-oran-at-meleg-57-c-ig-melegszik-40-csomag-display-tha-fot-0004-g-18006","https://www.somogyi.hu/product/thaw-tha-fot-0004-g-egyszer-hasznalhato-labujjmelegito-betet-2db-csomag-felbontas-utan-aktivalodik-7-oran-at-meleg-57-c-ig-melegszik-40-csomag-display-tha-fot-0004-g-18006")</f>
        <v>0.0</v>
      </c>
      <c r="E567" s="7" t="n">
        <f>HYPERLINK("https://www.somogyi.hu/data/img/product_main_images/small/18006.jpg","https://www.somogyi.hu/data/img/product_main_images/small/18006.jpg")</f>
        <v>0.0</v>
      </c>
      <c r="F567" s="2" t="inlineStr">
        <is>
          <t>5060063229492</t>
        </is>
      </c>
      <c r="G567" s="4" t="inlineStr">
        <is>
          <t>Előfordult már, hogy fázott a lábujja, miközben hosszú ideig kellett kinn tartózkodnia? A THAW THA-FOT-0004-G egyszer használható lábujjmelegítő betét tökéletes választás, hogy meleg és kényelmes legyen a lába akár a leghidegebb napokon is. 
Ez a melegítő betét oxigénnel érintkezve azonnal aktiválódik, miután a csomagot felbontja, így gyors és egyszerű megoldást kínál a hideg ellen. A két darabos kiszerelés praktikus és könnyen használható. A betét egyik oldala öntapadós, így biztonságosan rögzíthető cipőbe vagy zokniba, hogy stabilan tartsa a meleget a legérzékenyebb pontokon – a lábujjakon. 
Az akár 7 órán át tartó melegítő hatás és az 57°C-os maximális hőmérséklet garantálja, hogy még hosszú szabadtéri programok során is meleg maradjon a lába. A termék szagmentes, biztonságos, és környezetbarát kialakítása lehetővé teszi, hogy kényelmesen viselje akár egész nap anélkül, hogy zavarná a komfortérzetét. A THAW lábujjmelegítő kizárólag displayben rendelhető, amely 40 csomagot tartalmaz.
Ne hagyja, hogy a hideg uralja a napját! Válassza a THAW lábujjmelegítőt, hogy lábai melegek és kényelmesek legyenek, bármerre is jár!</t>
        </is>
      </c>
    </row>
    <row r="568">
      <c r="A568" s="6" t="inlineStr">
        <is>
          <t>Lakáskiegészítő</t>
        </is>
      </c>
      <c r="B568" s="6" t="inlineStr">
        <is>
          <t/>
        </is>
      </c>
      <c r="C568" s="6" t="inlineStr">
        <is>
          <t/>
        </is>
      </c>
      <c r="D568" s="6" t="inlineStr">
        <is>
          <t/>
        </is>
      </c>
      <c r="E568" s="6" t="inlineStr">
        <is>
          <t/>
        </is>
      </c>
      <c r="F568" s="6" t="inlineStr">
        <is>
          <t/>
        </is>
      </c>
      <c r="G568" s="6" t="inlineStr">
        <is>
          <t/>
        </is>
      </c>
    </row>
    <row r="569">
      <c r="A569" s="3" t="inlineStr">
        <is>
          <t>PNZK</t>
        </is>
      </c>
      <c r="B569" s="2" t="inlineStr">
        <is>
          <t>Bluering PNZK fém pénzkazetta, 5 rekeszes, 2 kulcs</t>
        </is>
      </c>
      <c r="C569" s="1" t="n">
        <v>7890.0</v>
      </c>
      <c r="D569" s="7" t="n">
        <f>HYPERLINK("https://www.somogyi.hu/product/bluering-pnzk-fem-penzkazetta-5-rekeszes-2-kulcs-pnzk-19054","https://www.somogyi.hu/product/bluering-pnzk-fem-penzkazetta-5-rekeszes-2-kulcs-pnzk-19054")</f>
        <v>0.0</v>
      </c>
      <c r="E569" s="7" t="n">
        <f>HYPERLINK("https://www.somogyi.hu/data/img/product_main_images/small/19054.jpg","https://www.somogyi.hu/data/img/product_main_images/small/19054.jpg")</f>
        <v>0.0</v>
      </c>
      <c r="F569" s="2" t="inlineStr">
        <is>
          <t>5999004641010</t>
        </is>
      </c>
      <c r="G569" s="4" t="inlineStr">
        <is>
          <t>Hogyan őrizheti meg értékeit biztonságosan és rendszerezetten? Ha pénzét, ékszereit vagy fontos dokumentumait szeretné biztonságban tudni, de mégis könnyen hozzáférhető helyen tárolni, akkor a Bluering PNZK fém pénzkazetta tökéletes választás az Ön számára. 
Ez a praktikus és kompakt pénzkazetta nemcsak védelmet nyújt értékeinek, hanem átlátható rendszerezést is kínál, így soha nem kell keresgélnie, hol találja meg, amit éppen keres.
Kompakt és hatékony tárolási megoldás
A pénzkazetta belső kialakítása 5 különálló rekesszel rendelkezik, amelyek ideálisak pénzérmék, bankjegyek, ékszerek vagy egyéb kisebb értékek elkülönített tárolására. A rekeszeknek köszönhetően mindig átlátható, hogy hol találhatók értékei, és mindez egy biztonságos, zárható fém kazettában van elhelyezve.
Biztonság és megbízhatóság
A Bluering PNZK kazettához 2 kulcs tartozik, így garantáltan csak Ön vagy a megbízott személy férhet hozzá a tartalmához. A robusztus, masszív fémborítás megbízható védelmet nyújt külső behatások ellen, így a kazetta ideális választás akár irodában, akár otthoni használatra.
Könnyen hordozható és helytakarékos
A kazetta kompakt mérete – mindössze 30 x 9 x 24 cm – lehetővé teszi, hogy könnyen elférjen kisebb helyeken is, legyen szó íróasztalfiókról, szekrényről vagy akár egy utazótáskáról. Emellett a kazetta kék színű festése esztétikus megjelenést kölcsönöz neki, így nem csak praktikus, de stílusos is. Ideális választás mindenkinek, aki fontosnak tartja a rendezettséget és biztonságot
Ne habozzon tovább! A Bluering PNZK fém pénzkazetta nemcsak biztonságos tárolási megoldást kínál, hanem rendszerezett formában őrzi meg értékeit.</t>
        </is>
      </c>
    </row>
    <row r="570">
      <c r="A570" s="3" t="inlineStr">
        <is>
          <t>PNZK3</t>
        </is>
      </c>
      <c r="B570" s="2" t="inlineStr">
        <is>
          <t>Bluering PNZK3 fém pénzkazetta, 6 rekeszes, 2 kulcs, kék</t>
        </is>
      </c>
      <c r="C570" s="1" t="n">
        <v>5590.0</v>
      </c>
      <c r="D570" s="7" t="n">
        <f>HYPERLINK("https://www.somogyi.hu/product/bluering-pnzk3-fem-penzkazetta-6-rekeszes-2-kulcs-kek-pnzk3-19053","https://www.somogyi.hu/product/bluering-pnzk3-fem-penzkazetta-6-rekeszes-2-kulcs-kek-pnzk3-19053")</f>
        <v>0.0</v>
      </c>
      <c r="E570" s="7" t="n">
        <f>HYPERLINK("https://www.somogyi.hu/data/img/product_main_images/small/19053.jpg","https://www.somogyi.hu/data/img/product_main_images/small/19053.jpg")</f>
        <v>0.0</v>
      </c>
      <c r="F570" s="2" t="inlineStr">
        <is>
          <t>5999004640990</t>
        </is>
      </c>
      <c r="G570" s="4" t="inlineStr">
        <is>
          <t>Hogyan őrizheti meg értékeit biztonságosan és rendszerezetten? Ha pénzét, ékszereit vagy fontos dokumentumait szeretné biztonságban tudni, de mégis könnyen hozzáférhető helyen tárolni, akkor a Bluering PNZK3 fém pénzkazetta tökéletes választás az Ön számára. 
Ez a praktikus és kompakt pénzkazetta nemcsak védelmet nyújt értékeinek, hanem átlátható rendszerezést is kínál, így soha nem kell keresgélnie, hol találja meg, amit éppen keres.
Kompakt és hatékony tárolási megoldás
A pénzkazetta belső kialakítása 6 különálló rekesszel rendelkezik, amelyek ideálisak pénzérmék, bankjegyek, ékszerek vagy egyéb kisebb értékek elkülönített tárolására. A rekeszeknek köszönhetően mindig átlátható, hogy hol találhatók értékei, és mindez egy biztonságos, zárható fém kazettában van elhelyezve.
Biztonság és megbízhatóság
A Bluering PNZK3 kazettához 2 kulcs tartozik, így garantáltan csak Ön vagy a megbízott személy férhet hozzá a tartalmához. A robusztus, masszív fémborítás megbízható védelmet nyújt külső behatások ellen, így a kazetta ideális választás akár irodában, akár otthoni használatra.
Könnyen hordozható és helytakarékos
A kazetta kompakt mérete – mindössze 20 x 8,5 x 16 cm – lehetővé teszi, hogy könnyen elférjen kisebb helyeken is, legyen szó íróasztalfiókról, szekrényről vagy akár egy utazótáskáról. Emellett a kazetta kék színű festése esztétikus megjelenést kölcsönöz neki, így nem csak praktikus, de stílusos is. Ideális választás mindenkinek, aki fontosnak tartja a rendezettséget és biztonságot
Ne habozzon tovább! A Bluering PNZK3 fém pénzkazetta nemcsak biztonságos tárolási megoldást kínál, hanem rendszerezett formában őrzi meg értékeit.</t>
        </is>
      </c>
    </row>
    <row r="571">
      <c r="A571" s="3" t="inlineStr">
        <is>
          <t>WF 02</t>
        </is>
      </c>
      <c r="B571" s="2" t="inlineStr">
        <is>
          <t>Home WF 02 csobogó, polyresin, beltéri, LED</t>
        </is>
      </c>
      <c r="C571" s="1" t="n">
        <v>27490.0</v>
      </c>
      <c r="D571" s="7" t="n">
        <f>HYPERLINK("https://www.somogyi.hu/product/home-wf-02-csobogo-polyresin-belteri-led-wf-02-17263","https://www.somogyi.hu/product/home-wf-02-csobogo-polyresin-belteri-led-wf-02-17263")</f>
        <v>0.0</v>
      </c>
      <c r="E571" s="7" t="n">
        <f>HYPERLINK("https://www.somogyi.hu/data/img/product_main_images/small/17263.jpg","https://www.somogyi.hu/data/img/product_main_images/small/17263.jpg")</f>
        <v>0.0</v>
      </c>
      <c r="F571" s="2" t="inlineStr">
        <is>
          <t>5999084952853</t>
        </is>
      </c>
      <c r="G571" s="4" t="inlineStr">
        <is>
          <t>A csobogó polyresin alapanyagú, kőhatású beltéri kivitelű kutat szimbolizál.
Melegfehér LED ragyogása hangulatos dekorációjává válhat a nappalijának, télikertjének.
Tápellátásként a hálózati adapter tartozékul szolgál. Mérete 30,5 x 47,8 x 25,5 cm
Természetes fa hatású, így növényekkel, kövekkel kombinálva kellemes látványt biztosít az otthonában.</t>
        </is>
      </c>
    </row>
    <row r="572">
      <c r="A572" s="3" t="inlineStr">
        <is>
          <t>WF 01</t>
        </is>
      </c>
      <c r="B572" s="2" t="inlineStr">
        <is>
          <t>Home WF 01 csobogó, polyresin, beltéri, LED</t>
        </is>
      </c>
      <c r="C572" s="1" t="n">
        <v>25890.0</v>
      </c>
      <c r="D572" s="7" t="n">
        <f>HYPERLINK("https://www.somogyi.hu/product/home-wf-01-csobogo-polyresin-belteri-led-wf-01-17262","https://www.somogyi.hu/product/home-wf-01-csobogo-polyresin-belteri-led-wf-01-17262")</f>
        <v>0.0</v>
      </c>
      <c r="E572" s="7" t="n">
        <f>HYPERLINK("https://www.somogyi.hu/data/img/product_main_images/small/17262.jpg","https://www.somogyi.hu/data/img/product_main_images/small/17262.jpg")</f>
        <v>0.0</v>
      </c>
      <c r="F572" s="2" t="inlineStr">
        <is>
          <t>5999084952846</t>
        </is>
      </c>
      <c r="G572" s="4" t="inlineStr">
        <is>
          <t>A csobogó polyresin alapanyagú, kőhatású beltéri kivitelű, a melegfehér LED világításával hangulatos dekorációjává válhat a nappalijának, télikertjének.
Tápellátásként a hálózati adapter tartozékul szolgál. Mérete 29,5 x 48 x 23 cm
Természetes hatású, így növényekkel, kövekkel kombinálva impozáns látványt biztosít az otthonában.</t>
        </is>
      </c>
    </row>
    <row r="573">
      <c r="A573" s="6" t="inlineStr">
        <is>
          <t xml:space="preserve">   Lakáskiegészítő / Riasztó, tartozék, széf</t>
        </is>
      </c>
      <c r="B573" s="6" t="inlineStr">
        <is>
          <t/>
        </is>
      </c>
      <c r="C573" s="6" t="inlineStr">
        <is>
          <t/>
        </is>
      </c>
      <c r="D573" s="6" t="inlineStr">
        <is>
          <t/>
        </is>
      </c>
      <c r="E573" s="6" t="inlineStr">
        <is>
          <t/>
        </is>
      </c>
      <c r="F573" s="6" t="inlineStr">
        <is>
          <t/>
        </is>
      </c>
      <c r="G573" s="6" t="inlineStr">
        <is>
          <t/>
        </is>
      </c>
    </row>
    <row r="574">
      <c r="A574" s="3" t="inlineStr">
        <is>
          <t>HS 64</t>
        </is>
      </c>
      <c r="B574" s="2" t="inlineStr">
        <is>
          <t>Home HS 64 mozgásérzékelő, 12 m hatótáv, 15 m vezeték, Home riasztókészülékekkel kompatipilis</t>
        </is>
      </c>
      <c r="C574" s="1" t="n">
        <v>1890.0</v>
      </c>
      <c r="D574" s="7" t="n">
        <f>HYPERLINK("https://www.somogyi.hu/product/home-hs-64-mozgaserzekelo-12-m-hatotav-15-m-vezetek-home-riasztokeszulekekkel-kompatipilis-hs-64-6650","https://www.somogyi.hu/product/home-hs-64-mozgaserzekelo-12-m-hatotav-15-m-vezetek-home-riasztokeszulekekkel-kompatipilis-hs-64-6650")</f>
        <v>0.0</v>
      </c>
      <c r="E574" s="7" t="n">
        <f>HYPERLINK("https://www.somogyi.hu/data/img/product_main_images/small/06650.jpg","https://www.somogyi.hu/data/img/product_main_images/small/06650.jpg")</f>
        <v>0.0</v>
      </c>
      <c r="F574" s="2" t="inlineStr">
        <is>
          <t>5998312756898</t>
        </is>
      </c>
      <c r="G574" s="4" t="inlineStr">
        <is>
          <t>Hogyan növelheti otthona biztonságát egy hatékony és megbízható mozgásérzékelő segítségével? A Home HS 64 mozgásérzékelő a modern biztonságtechnika megbízható eszköze, amely hatékonyan észleli a mozgást, így kiváló kiegészítője lehet meglévő riasztórendszerének. Ez a mozgásérzékelő akár 12 méteres hatótávolsággal is működik, és kompatibilis a népszerű Home HS 60, HS 70, HS 700 és HSM 700 riasztókészülékekkel.
Kiváló érzékenység és széleskörű hatótávolság
A készülék 12 méteres hatótávval rendelkezik, amely biztosítja a nagyobb terek hatékony lefedését is. Ideális választás otthonok, irodák, üzletek vagy garázsok védelmére. A mozgásérzékelő precíz technológiája révén pontosan észleli a nem kívánt mozgást, és gyorsan továbbítja a jeleket a riasztórendszer felé, garantálva a gyors reakcióidőt.
Egyszerű telepítés és csatlakoztathatóság
A mozgásérzékelő tartozéka egy 15 méteres vezeték, amely rugalmas telepítési lehetőségeket kínál. Az eszköz kompakt mérete (81 x 141 x 50 mm) lehetővé teszi a diszkrét elhelyezést, legyen szó falra, mennyezetre vagy egyéb felületekre történő rögzítésről. A Home HS 64 tökéletesen integrálható a Home HS 60, HS 70, HS 700 és HSM 700 típusú riasztókészülékekhez, így zökkenőmentesen illeszkedik meglévő rendszereihez.
Biztonság minden helyzetben
Ez a mozgásérzékelő ideális választás mind beltéri, mind részben fedett kültéri használatra, ahol a pontos érzékelés és a gyors jelátvitel kulcsfontosságú. Akár egyedi helyiségek, akár nagyobb terek védelméről van szó, a Home HS 64 megbízható működést biztosít a nap 24 órájában.
Tartós és praktikus kialakítás
A készülék strapabíró anyagokból készült, amelyek ellenállnak a mindennapos használatból adódó kopásnak és igénybevételnek. A mellékelt vezeték lehetővé teszi az érzékelő tetszőleges elhelyezését, így könnyedén személyre szabható a telepítés.
Miért válassza a Home HS 64 mozgásérzékelőt?
Ez a mozgásérzékelő tökéletesen illeszkedik bármilyen biztonsági rendszerbe, miközben pontos működésével és hosszú távú megbízhatóságával emeli otthona vagy üzlete védelmét. Az egyszerű telepítés és a kompatibilitás a Home riasztókészülékekkel garantálja, hogy ez az eszköz hatékonyan egészítse ki meglévő rendszerét.
Fokozza otthona biztonságát a Home HS 64 mozgásérzékelővel, és élvezze a nyugalmat, amit a modern technológia nyújt minden nap!</t>
        </is>
      </c>
    </row>
    <row r="575">
      <c r="A575" s="3" t="inlineStr">
        <is>
          <t>HSS 110</t>
        </is>
      </c>
      <c r="B575" s="2" t="inlineStr">
        <is>
          <t>Home HSS 110 kültéri riasztó-álsziréna, élethű szirénamegjelenés, IP44 vízálló, folyamatos felvillanó piros led, stabil masszív kivitel, elemes tápellátás</t>
        </is>
      </c>
      <c r="C575" s="1" t="n">
        <v>8290.0</v>
      </c>
      <c r="D575" s="7" t="n">
        <f>HYPERLINK("https://www.somogyi.hu/product/home-hss-110-kulteri-riaszto-alszirena-elethu-szirenamegjelenes-ip44-vizallo-folyamatos-felvillano-piros-led-stabil-massziv-kivitel-elemes-tapellatas-hss-110-17781","https://www.somogyi.hu/product/home-hss-110-kulteri-riaszto-alszirena-elethu-szirenamegjelenes-ip44-vizallo-folyamatos-felvillano-piros-led-stabil-massziv-kivitel-elemes-tapellatas-hss-110-17781")</f>
        <v>0.0</v>
      </c>
      <c r="E575" s="7" t="n">
        <f>HYPERLINK("https://www.somogyi.hu/data/img/product_main_images/small/17781.jpg","https://www.somogyi.hu/data/img/product_main_images/small/17781.jpg")</f>
        <v>0.0</v>
      </c>
      <c r="F575" s="2" t="inlineStr">
        <is>
          <t>5999084958039</t>
        </is>
      </c>
      <c r="G575" s="4" t="inlineStr">
        <is>
          <t>Hogyan növelheti otthona vagy üzlete biztonságát egyszerűen és költséghatékonyan? A Home HSS 110 kültéri riasztó-álsziréna kiváló megoldást kínál a betörők és illetéktelen behatolók elriasztására. Élethű szirénamegjelenésének és folyamatosan felvillanó piros LED-jének köszönhetően hatékonyan kelti egy valódi riasztórendszer látszatát, így növelve a biztonságérzetet.
Valósághű megjelenés és figyelemfelkeltő funkciók
A készülék kialakítása megtévesztésig hasonlít egy valódi szirénára. A folyamatosan felvillanó piros LED még messziről is jól látható, így azonnal magára vonzza a figyelmet. Ez a funkció különösen hasznos, mivel már önmagában is elriasztó hatású, és csökkenti a betörés kockázatát.
Kültéri és beltéri használatra egyaránt alkalmas
A riasztó-álsziréna IP44-es vízállósági szinttel rendelkezik, ami biztosítja, hogy kültéri környezetben is megbízhatóan működjön. Stabil és masszív kivitele garantálja, hogy ellenálljon az időjárási viszontagságoknak, miközben beltérben is hatékonyan használható biztonsági célokra.
Egyszerű telepítés és elemes működés
A készülék üzembe helyezése rendkívül egyszerű, így percek alatt használatra kész. Tápellátását 3 darab AA elem biztosítja (nem tartozék), ami lehetővé teszi a vezeték nélküli működést, és maximális rugalmasságot kínál a telepítés helyszínének megválasztásában.
Kompakt és tartós kialakítás
A 200 x 280 x 95 mm méretű eszköz kompakt, mégis feltűnő megjelenéssel bír, amely jól illeszkedik különféle épületek homlokzatához vagy belső tereibe. A masszív anyaghasználat hosszú távú megbízhatóságot biztosít, így nyugodtan számíthat rá minden helyzetben.
Miért válassza a Home HSS 110 kültéri riasztó-álszirénát?
Ez a készülék költséghatékony módja annak, hogy otthona vagy üzlete biztonságát növelje, anélkül, hogy bonyolult riasztórendszert kellene telepítenie. Az élethű szirénamegjelenés és a folyamatosan villogó 
LED figyelemfelkeltő hatása már önmagában elegendő ahhoz, hogy visszatartsa az illetéktelen személyeket.
Növelje otthona vagy üzlete biztonságát a Home HSS 110 kültéri riasztó-álszirénával, és élvezze a nyugalmat, amit a hatékony elrettentés nyújt!</t>
        </is>
      </c>
    </row>
    <row r="576">
      <c r="A576" s="3" t="inlineStr">
        <is>
          <t>HS 61</t>
        </is>
      </c>
      <c r="B576" s="2" t="inlineStr">
        <is>
          <t>Home HS 61 távirányító, Home HS 50 és HS 60 riasztórendszerekhez</t>
        </is>
      </c>
      <c r="C576" s="1" t="n">
        <v>879.0</v>
      </c>
      <c r="D576" s="7" t="n">
        <f>HYPERLINK("https://www.somogyi.hu/product/home-hs-61-taviranyito-home-hs-50-es-hs-60-riasztorendszerekhez-hs-61-6646","https://www.somogyi.hu/product/home-hs-61-taviranyito-home-hs-50-es-hs-60-riasztorendszerekhez-hs-61-6646")</f>
        <v>0.0</v>
      </c>
      <c r="E576" s="7" t="n">
        <f>HYPERLINK("https://www.somogyi.hu/data/img/product_main_images/small/06646.jpg","https://www.somogyi.hu/data/img/product_main_images/small/06646.jpg")</f>
        <v>0.0</v>
      </c>
      <c r="F576" s="2" t="inlineStr">
        <is>
          <t>5998312756850</t>
        </is>
      </c>
      <c r="G576" s="4" t="inlineStr">
        <is>
          <t>Hogyan teheti egyszerűbbé és kényelmesebbé otthona biztonsági rendszerének vezérlését? A Home HS 61 távirányító a Home HS 50 és HS 60 riasztórendszerek tökéletes kiegészítője, amely lehetővé teszi, hogy gyorsan és kényelmesen irányíthassa biztonsági rendszerét. Kompakt kialakításának és egyszerű használatának köszönhetően ideális választás mindennapi használatra, hogy otthona védelmét mindig kézben tarthassa.
Kényelmes és gyors vezérlés egyetlen gombnyomással
Ez a távirányító lehetővé teszi a riasztórendszer élesítését, hatástalanítását vagy egyéb funkciók gyors elérését, mindezt távolról, anélkül, hogy a kezelőpanelhez kellene lépnie. A 67 x 45 x 15 mm méretű eszköz kompakt és könnyű, így könnyedén hordozható akár zsebben vagy táskában is. Az egyszerű, intuitív gombkiosztás garantálja, hogy a rendszer vezérlése mindig gördülékeny legyen.
Teljes kompatibilitás a Home riasztórendszerekkel
A Home HS 61 távirányító kifejezetten a HS 50 és HS 60 riasztórendszerekhez lett tervezve, így tökéletesen illeszkedik a meglévő biztonsági rendszerhez. A megbízható jelátvitel biztosítja, hogy a rendszer minden esetben pontosan reagáljon az Ön utasításaira.
Hosszú üzemidő és azonnali használatra kész
A távirányító tápellátását 3 db LR44 (AG13) 1,5 V-os elem biztosítja, amelyek a csomag részét képezik, így az eszköz azonnal használatba vehető. Az energiatakarékos működés révén az elemek hosszú élettartamot biztosítanak, így a távirányító mindig készen áll a használatra.
Kompakt és tartós kialakítás
A kis méret és az ergonomikus kialakítás nemcsak kényelmes használatot tesz lehetővé, hanem tartósságot is biztosít a mindennapi igénybevétel során. A strapabíró anyaghasználat révén a távirányító hosszú távon is megbízható teljesítményt nyújt.
Miért válassza a Home HS 61 távirányítót?
Ez a távirányító nemcsak egyszerűvé és kényelmessé teszi riasztórendszere kezelését, hanem hozzájárul otthona biztonságának fenntartásához is. A gyors hozzáférést biztosító funkciók, a kompakt méret és a hosszú üzemidő mind azt szolgálják, hogy otthona védelmét a lehető legjobban kézben tarthassa.
Válassza a Home HS 61 távirányítót, és élvezze a biztonság kényelmét egyetlen gombnyomással!</t>
        </is>
      </c>
    </row>
    <row r="577">
      <c r="A577" s="6" t="inlineStr">
        <is>
          <t xml:space="preserve">   Lakáskiegészítő / Nyitásjelző, mozgásjelző, okos otthon</t>
        </is>
      </c>
      <c r="B577" s="6" t="inlineStr">
        <is>
          <t/>
        </is>
      </c>
      <c r="C577" s="6" t="inlineStr">
        <is>
          <t/>
        </is>
      </c>
      <c r="D577" s="6" t="inlineStr">
        <is>
          <t/>
        </is>
      </c>
      <c r="E577" s="6" t="inlineStr">
        <is>
          <t/>
        </is>
      </c>
      <c r="F577" s="6" t="inlineStr">
        <is>
          <t/>
        </is>
      </c>
      <c r="G577" s="6" t="inlineStr">
        <is>
          <t/>
        </is>
      </c>
    </row>
    <row r="578">
      <c r="A578" s="3" t="inlineStr">
        <is>
          <t>HS 21</t>
        </is>
      </c>
      <c r="B578" s="2" t="inlineStr">
        <is>
          <t>Home HS 21 ajtó- és ablaknyitás érzékelő/riasztó, öntapadós, két riasztási funkció, elemes tápellátás</t>
        </is>
      </c>
      <c r="C578" s="1" t="n">
        <v>4490.0</v>
      </c>
      <c r="D578" s="7" t="n">
        <f>HYPERLINK("https://www.somogyi.hu/product/home-hs-21-ajto-es-ablaknyitas-erzekelo-riaszto-ontapados-ket-riasztasi-funkcio-elemes-tapellatas-hs-21-6474","https://www.somogyi.hu/product/home-hs-21-ajto-es-ablaknyitas-erzekelo-riaszto-ontapados-ket-riasztasi-funkcio-elemes-tapellatas-hs-21-6474")</f>
        <v>0.0</v>
      </c>
      <c r="E578" s="7" t="n">
        <f>HYPERLINK("https://www.somogyi.hu/data/img/product_main_images/small/06474.jpg","https://www.somogyi.hu/data/img/product_main_images/small/06474.jpg")</f>
        <v>0.0</v>
      </c>
      <c r="F578" s="2" t="inlineStr">
        <is>
          <t>5998312755204</t>
        </is>
      </c>
      <c r="G578" s="4" t="inlineStr">
        <is>
          <t>Hogyan védheti otthonát hatékonyan és egyszerűen ajtó- és ablaknyitás érzékelővel? A Home HS 21 ajtó- és ablaknyitás érzékelő/riasztó egy kompakt és könnyen telepíthető eszköz, amely azonnali hangjelzéssel figyelmeztet, ha valaki kinyitja az ajtót vagy ablakot. Az öntapadós hátlapnak köszönhetően egyszerűen rögzíthető, így kiváló választás otthonok, irodák vagy üzletek biztonságának növelésére.
Két riasztási funkció a maximális védelem érdekében
A készülék két különböző riasztási módot kínál:
* Chime üzemmód: Kellemes "Ding-dong" hangjelzés, amely diszkréten figyelmeztet az ajtó vagy ablak nyitására, ideális választás üzletek vagy irodák számára.
* ALARM üzemmód: Erőteljes, 100 dB-es riasztóhang, amely hatékonyan elriasztja az illetéktelen behatolókat, így fokozva otthona vagy üzlete biztonságát.
Mindkét funkció egyszerűen beállítható, és az eszköz igény szerint ki- és bekapcsolható.
Egyszerű telepítés és használat
Az érzékelő öntapadós hátlapja lehetővé teszi a gyors és szerszámmentes rögzítést szinte bármilyen felületre, legyen szó ajtó- vagy ablakkeretről. A kompakt kialakítás biztosítja, hogy az eszköz diszkréten beleolvadjon a környezetébe, miközben hatékonyan látja el feladatát.
Elemes tápellátás a hordozhatóságért
A készülék működéséhez mindössze 3 darab AG13 típusú gombelem (1,5 V) szükséges, amelyek a csomag részét képezik. Ezáltal az eszköz vezeték nélkül, rugalmasan használható, és bármikor áthelyezhető másik ajtóra vagy ablakra.
Tartós és sokoldalú védelem
A Home HS 21 ajtó- és ablaknyitás érzékelő/riasztó tökéletes megoldás lakások, nyaralók, irodák vagy üzlethelyiségek biztonságának növelésére. Legyen szó a betörők elriasztásáról vagy egyszerű figyelmeztetésről, az eszköz minden helyzetben megbízható működést nyújt.
Miért válassza a Home HS 21 ajtó- és ablaknyitás érzékelőt?
Ez az eszköz egyesíti a könnyű használhatóságot, a hatékony riasztási lehetőségeket és a gyors telepíthetőséget, miközben költséghatékony módja a biztonság növelésének. Kompakt mérete és elegáns kialakítása révén minden otthon vagy üzlet tökéletes kiegészítője lehet.
Növelje otthona vagy üzlete biztonságát a Home HS 21 érzékelővel, és élvezze a nyugalmat, amit ez a modern technológia nyújt!</t>
        </is>
      </c>
    </row>
    <row r="579">
      <c r="A579" s="3" t="inlineStr">
        <is>
          <t>HSB 120 R</t>
        </is>
      </c>
      <c r="B579" s="2" t="inlineStr">
        <is>
          <t>Home HSB 120 R vezeték nélküli belépésjelző távkapcsolóval, 120m hatótáv, IP44 vízálló mozgásérzékelő, vízszintesen 110°-os érzékelés, elemes tápellátás</t>
        </is>
      </c>
      <c r="C579" s="1" t="n">
        <v>12190.0</v>
      </c>
      <c r="D579" s="7" t="n">
        <f>HYPERLINK("https://www.somogyi.hu/product/home-hsb-120-r-vezetek-nelkuli-belepesjelzo-tavkapcsoloval-120m-hatotav-ip44-vizallo-mozgaserzekelo-vizszintesen-110-os-erzekeles-elemes-tapellatas-hsb-120-r-17074","https://www.somogyi.hu/product/home-hsb-120-r-vezetek-nelkuli-belepesjelzo-tavkapcsoloval-120m-hatotav-ip44-vizallo-mozgaserzekelo-vizszintesen-110-os-erzekeles-elemes-tapellatas-hsb-120-r-17074")</f>
        <v>0.0</v>
      </c>
      <c r="E579" s="7" t="n">
        <f>HYPERLINK("https://www.somogyi.hu/data/img/product_main_images/small/17074.jpg","https://www.somogyi.hu/data/img/product_main_images/small/17074.jpg")</f>
        <v>0.0</v>
      </c>
      <c r="F579" s="2" t="inlineStr">
        <is>
          <t>5999084951061</t>
        </is>
      </c>
      <c r="G579" s="4" t="inlineStr">
        <is>
          <t>Hogyan biztosíthatja otthona és vállalkozása biztonságát anélkül, hogy folyamatosan jelen kellene lennie? A Home HSB 120 R vezeték nélküli belépésjelző a megoldás! Ez a kifinomult eszköz hang- és fényjelzéssel reagál, amint valaki belép a mozgásérzékelő (PIR) hatókörébe, így Ön azonnal tudomást szerezhet minden behatolásról.
A rendszer kiemelkedő tulajdonságai közé tartozik a vízszintes 110°-os mozgásérzékelési szög és a 5-6 méteres érzékelési távolság. Az eszközök 433,92 MHz frekvencián kommunikálnak egymással, maximális 120 méteres rádió hatótávolság mellett (nyílt terepen), így a mozgásérzékelő és a beltéri egység közötti kommunikáció akadálymentes. A tartozék távkapcsoló (ON – OFF) lehetővé teszi a rendszer egyszerű aktiválását és deaktiválását, még távolról is. A mozgásérzékelő IP44-es védettsége révén kültéren is tökéletesen működik, ellenállva az időjárás viszontagságainak. A telepítés gyors és egyszerű a csomagban található csavarok és tiplik segítségével. A tápellátásért könnyen beszerezhető elemek felelnek: PIR mozgásérzékelő 3 x 1,5 V (AAA) elem, beltéri egység 3 x 1,5 V (C) elem, távkapcsoló 1 x 12 V (23A) elem, az utóbbi tartozékul is szolgál. Az eszközök kompakt méretekkel rendelkeznek: 90x140x45mm és 65x95x33mm.
Ne hagyja, hogy aggodalom árnyékolja be mindennapjait! A Home HSB 120 R vezeték nélküli belépésjelzővel mindig nyugodt lehet, tudva, hogy otthona vagy vállalkozása folyamatosan biztonságban van. Tegyen egy lépést a teljes nyugalom felé, szerezze be még ma ezt a megbízható biztonságtechnikai megoldást!</t>
        </is>
      </c>
    </row>
    <row r="580">
      <c r="A580" s="3" t="inlineStr">
        <is>
          <t>HS 11</t>
        </is>
      </c>
      <c r="B580" s="2" t="inlineStr">
        <is>
          <t>Home HS 11 belépésjelző fali tartóval, 120°-ban állítható, állítható hangerő, hálózati adapter csatlakoztatási lehetőség, elemes tápellátás</t>
        </is>
      </c>
      <c r="C580" s="1" t="n">
        <v>6290.0</v>
      </c>
      <c r="D580" s="7" t="n">
        <f>HYPERLINK("https://www.somogyi.hu/product/home-hs-11-belepesjelzo-fali-tartoval-120-ban-allithato-allithato-hangero-halozati-adapter-csatlakoztatasi-lehetoseg-elemes-tapellatas-hs-11-6472","https://www.somogyi.hu/product/home-hs-11-belepesjelzo-fali-tartoval-120-ban-allithato-allithato-hangero-halozati-adapter-csatlakoztatasi-lehetoseg-elemes-tapellatas-hs-11-6472")</f>
        <v>0.0</v>
      </c>
      <c r="E580" s="7" t="n">
        <f>HYPERLINK("https://www.somogyi.hu/data/img/product_main_images/small/06472.jpg","https://www.somogyi.hu/data/img/product_main_images/small/06472.jpg")</f>
        <v>0.0</v>
      </c>
      <c r="F580" s="2" t="inlineStr">
        <is>
          <t>5998312755181</t>
        </is>
      </c>
      <c r="G580" s="4" t="inlineStr">
        <is>
          <t>Hogyan fogadhatja látogatóit stílusosan, miközben biztonságot is nyújt otthonának vagy üzletének? A Home HS 11 belépésjelző egy praktikus és megbízható megoldás, amely diszkrét, mégis hatékony módon figyelmeztet a belépőkre. A mozgásérzékelős eszköz "Ding-dong" hangjelzéssel jelzi, ha valaki belép a hatósugarába, így tökéletes választás üzletek, irodák vagy akár otthoni bejáratok számára.
Érzékeny mozgásérzékelés és állítható funkciók
A belépésjelző 4-5 méteres hatótávolsággal rendelkezik, amely biztosítja, hogy időben értesüljön a mozgásról. A tartozék fali tartó segítségével az eszköz 120°-ban állítható, így pontosan a kívánt irányba fordítható a maximális hatékonyság érdekében. Az állítható hangerő lehetővé teszi, hogy az eszköz hangerejét a környezethez igazítsa, és a kikapcsolási lehetőség révén könnyedén szabályozhatja a működését.
Sokoldalú tápellátási lehetőségek
A belépésjelző működtethető 4 darab AA elemmel (nem tartozék), amely rugalmas telepítést és vezeték nélküli használatot tesz lehetővé. Emellett a készülékhez csatlakoztatható egy 6V DC/300 mA adapter, amely folyamatos tápellátást biztosít (az adapter külön vásárolható meg, kompatibilis típusok: MW 3N06 vagy MW MA06). Ez a két lehetőség biztosítja, hogy a készülék mindig megbízhatóan működjön, akár hosszabb távon is.
Egyszerű telepítés és kompakt kialakítás
A Home HS 11 belépésjelző egyszerűen és gyorsan telepíthető a mellékelt fali tartóval. Kompakt mérete lehetővé teszi, hogy diszkréten illeszkedjen bármilyen környezetbe, miközben hatékonyan ellátja feladatát. Ideális választás üzlethelyiségek, irodák, vagy otthonok bejáratának figyelésére.
Ideális választás különféle helyszínekre
A belépésjelző nemcsak biztonsági eszköz, hanem kényelmi funkcióval is bír. Üzletekben figyelmezteti a személyzetet a belépő vásárlókra, irodákban jelezheti a látogatók érkezését, otthonokban pedig diszkrét értesítést ad a mozgásról.
Miért válassza a Home HS 11 belépésjelzőt?
Ez a belépésjelző praktikus és sokoldalú eszköz, amely hozzájárul a biztonsághoz és a mindennapi kényelemhez. A precíz mozgásérzékelés, az állítható funkciók és a rugalmas tápellátási lehetőségek mind azt szolgálják, hogy igényeihez igazítsa az eszközt. Megbízható működése és kompakt kialakítása révén hosszú távon is ideális megoldást kínál.
Tegye egyszerűbbé és biztonságosabbá otthona vagy üzlete mindennapjait a Home HS 11 belépésjelzővel, amely minden látogatót stílusosan üdvözöl!</t>
        </is>
      </c>
    </row>
    <row r="581">
      <c r="A581" s="3" t="inlineStr">
        <is>
          <t>HS12</t>
        </is>
      </c>
      <c r="B581" s="2" t="inlineStr">
        <is>
          <t>Home HS12 ajtó és ablakriasztó, távirányítható, 4 in 1 multifunkciós védelem, belépésjelző, nyitvahagyott ajtó figyelmeztetés, szabályozható hangerő</t>
        </is>
      </c>
      <c r="C581" s="1" t="n">
        <v>5990.0</v>
      </c>
      <c r="D581" s="7" t="n">
        <f>HYPERLINK("https://www.somogyi.hu/product/home-hs12-ajto-es-ablakriaszto-taviranyithato-4-in-1-multifunkcios-vedelem-belepesjelzo-nyitvahagyott-ajto-figyelmeztetes-szabalyozhato-hangero-hs12-18391","https://www.somogyi.hu/product/home-hs12-ajto-es-ablakriaszto-taviranyithato-4-in-1-multifunkcios-vedelem-belepesjelzo-nyitvahagyott-ajto-figyelmeztetes-szabalyozhato-hangero-hs12-18391")</f>
        <v>0.0</v>
      </c>
      <c r="E581" s="7" t="n">
        <f>HYPERLINK("https://www.somogyi.hu/data/img/product_main_images/small/18391.jpg","https://www.somogyi.hu/data/img/product_main_images/small/18391.jpg")</f>
        <v>0.0</v>
      </c>
      <c r="F581" s="2" t="inlineStr">
        <is>
          <t>5999084964092</t>
        </is>
      </c>
      <c r="G581" s="4" t="inlineStr">
        <is>
          <t>Biztonságban szeretné érezni magát otthonában, még akkor is, ha éppen távol van? A Home HS12 ajtó és ablakriasztó készülékkel ez könnyedén megvalósítható.
A 4in1 multifunkciós védelemmel ellátott eszköz „otthon vagyok” és „elmentem” üzemmódokkal kínál testreszabott biztonságot, így bármikor, bárhol nyugodt lehet. Legyen szó rövid távollétről vagy hosszabb üdülésről, a 30 másodpercig tartó vagy folyamatos riasztás, valamint a ding-dong belépésjelző mód biztosítja, hogy értesítést kapjon minden bejutási kísérletről.
A riasztó figyelmeztet, ha ajtót vagy ablakot nyitva felejt, és azonnali pánikriasztás funkcióval is rendelkezik a gyors segítséghívás érdekében. Minden funkció egy távirányító segítségével könnyedén kezelhető, mely jelzi az elemek merülését is, így mindig biztos lehet a készülék készenlétben állásában. Az öntapadó ragasztónak köszönhetően a riasztó könnyen telepíthető bármely ajtóra vagy ablakra, szerszámok nélkül.
Válassza a Home HS12 ajtó és ablakriasztót, hogy otthona mindig védett legyen, és Ön nyugodtan élvezhesse a mindennapokat vagy az utazás örömeit. Ne hagyja, hogy a biztonsága véletlenekre épüljön!</t>
        </is>
      </c>
    </row>
    <row r="582">
      <c r="A582" s="6" t="inlineStr">
        <is>
          <t xml:space="preserve">   Lakáskiegészítő / Sziréna, zümmer</t>
        </is>
      </c>
      <c r="B582" s="6" t="inlineStr">
        <is>
          <t/>
        </is>
      </c>
      <c r="C582" s="6" t="inlineStr">
        <is>
          <t/>
        </is>
      </c>
      <c r="D582" s="6" t="inlineStr">
        <is>
          <t/>
        </is>
      </c>
      <c r="E582" s="6" t="inlineStr">
        <is>
          <t/>
        </is>
      </c>
      <c r="F582" s="6" t="inlineStr">
        <is>
          <t/>
        </is>
      </c>
      <c r="G582" s="6" t="inlineStr">
        <is>
          <t/>
        </is>
      </c>
    </row>
    <row r="583">
      <c r="A583" s="3" t="inlineStr">
        <is>
          <t>Z 2</t>
        </is>
      </c>
      <c r="B583" s="2" t="inlineStr">
        <is>
          <t>Home Z 2 zümmer, folyamatos hangjelzés, piezo hangszóró, 85 dB-es hangerő, feszültség: 1,5-12V</t>
        </is>
      </c>
      <c r="C583" s="1" t="n">
        <v>1150.0</v>
      </c>
      <c r="D583" s="7" t="n">
        <f>HYPERLINK("https://www.somogyi.hu/product/home-z-2-zummer-folyamatos-hangjelzes-piezo-hangszoro-85-db-es-hangero-feszultseg-1-5-12v-z-2-2033","https://www.somogyi.hu/product/home-z-2-zummer-folyamatos-hangjelzes-piezo-hangszoro-85-db-es-hangero-feszultseg-1-5-12v-z-2-2033")</f>
        <v>0.0</v>
      </c>
      <c r="E583" s="7" t="n">
        <f>HYPERLINK("https://www.somogyi.hu/data/img/product_main_images/small/02033.jpg","https://www.somogyi.hu/data/img/product_main_images/small/02033.jpg")</f>
        <v>0.0</v>
      </c>
      <c r="F583" s="2" t="inlineStr">
        <is>
          <t>5998312721384</t>
        </is>
      </c>
      <c r="G583" s="4" t="inlineStr">
        <is>
          <t>Hogyan érheti el, hogy biztonsági rendszerének figyelmeztető hangjelzése mindig tiszta és jól hallható legyen? A Home Z 2 zümmer egy kompakt, mégis erőteljes hangjelző eszköz, amely folyamatos figyelmeztető hangot biztosít. 85 dB-es hangerővel, piezo hangszóró technológiával és 1,5-12 V feszültségtartományban történő működéssel ideális kiegészítője lehet riasztórendszereknek, figyelmeztető jelzőrendszereknek vagy más biztonságtechnikai alkalmazásoknak.
Erőteljes és folyamatos hangjelzés
A Home Z 2 zümmer folyamatos hangjelzést biztosít, amely akár 30 cm-es távolságból is tisztán hallható, köszönhetően a 85 dB-es hangerőnek. A 4,2 ± 0,5 kHz frekvenciájú jel tiszta és éles hangzást nyújt, amely hatékonyan hívja fel a figyelmet bármilyen figyelmeztető helyzetre.
Kompakt és könnyen integrálható kialakítás
A zümmer 22 x 10 mm-es mérete lehetővé teszi, hogy szinte bármilyen rendszerbe egyszerűen beépíthető legyen. Kompakt kialakítása révén ideális választás kis méretű eszközökhöz vagy helyhez kötött rendszerekhez, miközben teljesítménye minden igényt kielégít.
Rugalmas tápellátási lehetőségek
A zümmer széles feszültségtartományban működik, 1,5-12 V DC között, ami nagy rugalmasságot kínál különféle rendszerekben való alkalmazásra. Az alacsony áramfelvétel (15 mA) energiatakarékos működést biztosít, így hosszú távon is költséghatékony megoldást nyújt.
Sokoldalú felhasználási lehetőségek
A Home Z 2 zümmer ideális választás különféle biztonságtechnikai és jelzőrendszerekhez, például riasztókhoz, figyelmeztető berendezésekhez vagy ipari alkalmazásokhoz. Hatékonysága és egyszerű telepíthetősége miatt bármilyen projektben megbízható partner lehet.
Tartós és megbízható technológia
A piezo hangszóró technológiának köszönhetően a zümmer hosszú élettartammal és stabil működéssel rendelkezik. Ez a technológia nemcsak tiszta hangjelzést, hanem kiváló tartósságot is biztosít, még intenzív használat esetén is.
Miért válassza a Home Z 2 zümmert?
Ez a kompakt, mégis hatékony eszköz ideális megoldást kínál minden olyan helyzetre, ahol tiszta és jól hallható figyelmeztető hangjelzésre van szükség. Rugalmassága, megbízhatósága és energiahatékonysága révén hosszú távon is kiváló választás lehet.
Tegye még biztonságosabbá rendszerét a Home Z 2 zümmerrel, amely garantáltan nem hagyja figyelmen kívül a fontos jelzéseket!</t>
        </is>
      </c>
    </row>
    <row r="584">
      <c r="A584" s="3" t="inlineStr">
        <is>
          <t>SZ 3-1</t>
        </is>
      </c>
      <c r="B584" s="2" t="inlineStr">
        <is>
          <t>Home SZ 3-1 egy szólamú sziréna, folyamatos hangjelzés, dóm hangszóró, 20 W-os teljesítmény, 108 dB-es hangerő</t>
        </is>
      </c>
      <c r="C584" s="1" t="n">
        <v>4890.0</v>
      </c>
      <c r="D584" s="7" t="n">
        <f>HYPERLINK("https://www.somogyi.hu/product/home-sz-3-1-egy-szolamu-szirena-folyamatos-hangjelzes-dom-hangszoro-20-w-os-teljesitmeny-108-db-es-hangero-sz-3-1-1902","https://www.somogyi.hu/product/home-sz-3-1-egy-szolamu-szirena-folyamatos-hangjelzes-dom-hangszoro-20-w-os-teljesitmeny-108-db-es-hangero-sz-3-1-1902")</f>
        <v>0.0</v>
      </c>
      <c r="E584" s="7" t="n">
        <f>HYPERLINK("https://www.somogyi.hu/data/img/product_main_images/small/01902.jpg","https://www.somogyi.hu/data/img/product_main_images/small/01902.jpg")</f>
        <v>0.0</v>
      </c>
      <c r="F584" s="2" t="inlineStr">
        <is>
          <t>5998312704592</t>
        </is>
      </c>
      <c r="G584" s="4" t="inlineStr">
        <is>
          <t>Hogyan biztosíthatja, hogy riasztórendszere hangja mindig figyelmet keltsen, és hatékonyan elriassza a behatolókat? A Home SZ 3-1 egy szólamú sziréna a riasztórendszerek egyik alapvető eleme, amely erőteljes és tiszta hangjelzést biztosít minden helyzetben. 108 dB-es hangerővel és 20 W-os teljesítménnyel gondoskodik arról, hogy figyelmeztető hangja még nagy távolságból is egyértelmű és jól hallható legyen.
Erőteljes és tiszta hangjelzés dóm hangszóróval
Ez a sziréna egy hagyományos, egy szólamú hangjelzést nyújt, amely azonnal felhívja a figyelmet bármilyen veszélyhelyzetre. A beépített dóm hangszóró technológia gondoskodik a tiszta és erőteljes hangzásról, miközben a 108 dB-es hangerő biztosítja, hogy hangja még zajos környezetben is jól hallható maradjon. Ezáltal ideális választás beltéri és kültéri alkalmazásokhoz egyaránt.
Tartós és masszív kialakítás
A sziréna robusztus kialakítása nemcsak strapabíróvá, hanem hosszú távon is megbízhatóvá teszi. Kompakt mérete (Ø87 x 104 x 112 mm) és egyszerű telepítési lehetőségei megkönnyítik a használatát, miközben stabil rögzítést biztosít. A talppal együtt 112 mm magas, így diszkrét, mégis hatékony kiegészítője lehet riasztórendszerének.
Széles feszültségtartomány és rugalmasság
A sziréna 6-15 V DC közötti tápellátást igényel, amely lehetővé teszi, hogy széles körű alkalmazásokhoz illeszkedjen. A 20 W-os teljesítmény biztosítja, hogy a sziréna a legtöbb biztonsági rendszerrel kompatibilis legyen, miközben energiatakarékos működést kínál.
Sokoldalú felhasználási lehetőségek
Legyen szó otthoni, ipari vagy kereskedelmi alkalmazásról, a Home SZ 3-1 sziréna hatékonyan használható a behatolók elriasztására és a veszélyhelyzetek azonnali jelzésére. Megbízható teljesítményével és egyszerű telepíthetőségével minden biztonsági rendszer tökéletes kiegészítője.
Miben emelkedik ki a Home SZ 3-1 sziréna?
Ez a sziréna egyesíti az erőteljes hangjelzést, a tartós kialakítást és a könnyű telepíthetőséget, hogy hatékony védelmet nyújtson otthona, irodája vagy üzlete számára. Az egyszerű, egy szólamú hang és a tiszta jelzés ideális választássá teszi különböző környezetekben.
Fokozza riasztórendszere hatékonyságát a Home SZ 3-1 szirénával, és élvezze a nyugalmat, amit a modern biztonságtechnika nyújt!</t>
        </is>
      </c>
    </row>
    <row r="585">
      <c r="A585" s="3" t="inlineStr">
        <is>
          <t>SZ 1-1</t>
        </is>
      </c>
      <c r="B585" s="2" t="inlineStr">
        <is>
          <t>Home SZ 1-1 egy szólamú sziréna, folyamatos hangjelzés, piezo hangszóró, 20 W-os teljesítmény, 100 dB-es hangerő</t>
        </is>
      </c>
      <c r="C585" s="1" t="n">
        <v>2790.0</v>
      </c>
      <c r="D585" s="7" t="n">
        <f>HYPERLINK("https://www.somogyi.hu/product/home-sz-1-1-egy-szolamu-szirena-folyamatos-hangjelzes-piezo-hangszoro-20-w-os-teljesitmeny-100-db-es-hangero-sz-1-1-1901","https://www.somogyi.hu/product/home-sz-1-1-egy-szolamu-szirena-folyamatos-hangjelzes-piezo-hangszoro-20-w-os-teljesitmeny-100-db-es-hangero-sz-1-1-1901")</f>
        <v>0.0</v>
      </c>
      <c r="E585" s="7" t="n">
        <f>HYPERLINK("https://www.somogyi.hu/data/img/product_main_images/small/01901.jpg","https://www.somogyi.hu/data/img/product_main_images/small/01901.jpg")</f>
        <v>0.0</v>
      </c>
      <c r="F585" s="2" t="inlineStr">
        <is>
          <t>5998312704585</t>
        </is>
      </c>
      <c r="G585" s="4" t="inlineStr">
        <is>
          <t>Hogyan teheti riasztórendszerét még hatékonyabbá egy erőteljes hangjelzéssel? A Home SZ 1-1 egy szólamú sziréna ideális választás, ha erőteljes, jól hallható hangjelzéssel szeretné növelni otthona, irodája vagy üzlete biztonságát. A 100 dB-es hangerő és a 20 W-os teljesítmény garantálja, hogy a sziréna hangja még nagyobb távolságból is egyértelmű figyelmeztetést nyújtson, így hatékonyan riaszthatja el az illetéktelen behatolókat.
Erőteljes és megbízható hangjelzés
A sziréna folyamatos hangjelzést biztosít, amely azonnal felhívja a figyelmet a veszélyhelyzetre. A piezo hangszóró technológia garantálja a tiszta és erőteljes hangzást, így bármilyen környezetben hatékonyan használható. A 100 dB-es hangerő és a széles 6-16 V DC feszültségtartomány biztosítja, hogy a sziréna bármely szabványos riasztórendszerrel kompatibilis legyen.
Kompakt és könnyen telepíthető kialakítás
A sziréna kompakt mérete (45 x 40 x 60 mm, talppal együtt 57 mm magas) megkönnyíti a telepítést, akár falra, akár más stabil felületre. A diszkrét kialakítás lehetővé teszi, hogy a sziréna könnyen illeszkedjen bármilyen környezetbe, anélkül, hogy esztétikai kompromisszumot kellene kötnie.
Ideális választás különféle felhasználási területekre
Ez a sziréna nemcsak otthoni riasztórendszerekhez ideális, hanem kiválóan alkalmazható ipari környezetekben, üzletekben vagy egyéb helyiségekben, ahol gyors és hatékony figyelmeztetés szükséges. A 20 W-os teljesítmény és a piezo technológia révén megbízható működést biztosít még intenzív használat esetén is.
Tartós és energiahatékony működés
A piezo hangszóró technológia nemcsak erőteljes hangzást, hanem hosszú élettartamot is biztosít, miközben energiahatékony működést garantál. Az egyszerű csatlakoztatásnak köszönhetően gyorsan integrálható bármilyen meglévő biztonsági rendszerbe.
Miért válassza a Home SZ 1-1 egy szólamú szirénát?
Ez a sziréna egyszerre nyújt erőteljes és megbízható hangjelzést, miközben kompakt kialakításának köszönhetően könnyen telepíthető. Ideális választás azok számára, akik egy hatékony, mégis energiahatékony kiegészítőt keresnek riasztórendszerükhöz.
Fokozza biztonságát a Home SZ 1-1 egy szólamú szirénával, és biztosítsa otthona, üzlete vagy irodája védelmét egy megbízható hangjelző eszközzel!</t>
        </is>
      </c>
    </row>
    <row r="586">
      <c r="A586" s="6" t="inlineStr">
        <is>
          <t xml:space="preserve">   Lakáskiegészítő / Okoskamera</t>
        </is>
      </c>
      <c r="B586" s="6" t="inlineStr">
        <is>
          <t/>
        </is>
      </c>
      <c r="C586" s="6" t="inlineStr">
        <is>
          <t/>
        </is>
      </c>
      <c r="D586" s="6" t="inlineStr">
        <is>
          <t/>
        </is>
      </c>
      <c r="E586" s="6" t="inlineStr">
        <is>
          <t/>
        </is>
      </c>
      <c r="F586" s="6" t="inlineStr">
        <is>
          <t/>
        </is>
      </c>
      <c r="G586" s="6" t="inlineStr">
        <is>
          <t/>
        </is>
      </c>
    </row>
    <row r="587">
      <c r="A587" s="3" t="inlineStr">
        <is>
          <t>HGWOB-253</t>
        </is>
      </c>
      <c r="B587" s="2" t="inlineStr">
        <is>
          <t>Homeguard HGWOB-253 2K Super HD Wi-Fi SMART IP kamera</t>
        </is>
      </c>
      <c r="C587" s="1" t="n">
        <v>29490.0</v>
      </c>
      <c r="D587" s="7" t="n">
        <f>HYPERLINK("https://www.somogyi.hu/product/homeguard-hgwob-253-2k-super-hd-wi-fi-smart-ip-kamera-hgwob-253-18571","https://www.somogyi.hu/product/homeguard-hgwob-253-2k-super-hd-wi-fi-smart-ip-kamera-hgwob-253-18571")</f>
        <v>0.0</v>
      </c>
      <c r="E587" s="7" t="n">
        <f>HYPERLINK("https://www.somogyi.hu/data/img/product_main_images/small/18571.jpg","https://www.somogyi.hu/data/img/product_main_images/small/18571.jpg")</f>
        <v>0.0</v>
      </c>
      <c r="F587" s="2" t="inlineStr">
        <is>
          <t>5060442172531</t>
        </is>
      </c>
      <c r="G587" s="4" t="inlineStr">
        <is>
          <t>Aggódik otthona biztonsága miatt? A Homeguard HGWOB-253 intelligens IP kamera a tökéletes megoldás, amely minden igényét kielégíti a megfigyelés terén. 
A HGWOB-253 a legmodernebb technológiát kínálja, és számos praktikus funkcióval van felszerelve. Ez a kamera 1/3" Progressive Scan CMOS érzékelővel rendelkezik, amely kristálytiszta és részletgazdag képeket biztosít. A 110° széles látószög révén széles területeket képes lefedni, így minden fontos eseményt rögzíthet. A kamera éjszakai látása akár 20 méteres távolságig is kitűnő, így sötétben is megbízhatóan működik. A 16x digitális zoom lehetővé teszi, hogy közelebbről is megfigyelhesse a részleteket, míg a vízszintes 360°-os és függőleges 100°-os pásztázó és döntési képességek teljes körű megfigyelést biztosítanak.
A 2K QHD (2560x1440 pixel) felbontású videók minősége lenyűgöző, és a H.264 videó tömörítés hatékonyan kezeli a tárhelyet. A kamera beépített szirénája segít a behatolók elriasztásában, míg a kétirányú beszélgetés funkció lehetővé teszi a közvetlen kommunikációt a mikrofon és hangszóró segítségével. Az AI objektumészlelés technológiája pontosan felismeri az embereket, járműveket és kisállatokat, így mindig tisztában lehet azzal, mi történik a környezetében.
A tárolási lehetőségek is kiválóak: a kamera támogatja a MicroSD kártyákat 256 GB-ig, valamint 30 napos ingyenes felhőalapú tárolást is biztosít. A nagy sebességű 2,4 GHz-es Wi-Fi kapcsolat stabil adatátvitelt nyújt. Az IP66 besorolású kialakítás biztosítja a kamera időjárásállóságát, üzemi hőmérséklet -10 és 50 °C között van, páratartalom-tűrése pedig 10-90%.
A DC 5V / 1A tápellátással és kevesebb mint 4,5W fogyasztással rendelkező kamera könnyen telepíthető. Kompakt méretei (160x155x100mm) és 450g-os súlya révén diszkréten elhelyezhető bárhol. A Homeguardlive applikációval könnyedén vezérelheti és monitorozhatja a kamerát bármikor, bárhonnan.
Ne habozzon, válassza a Homeguard HGWOB-253 intelligens IP kamerát, hogy otthonát a legmodernebb technológiával védje meg éjjel-nappal!</t>
        </is>
      </c>
    </row>
    <row r="588">
      <c r="A588" s="3" t="inlineStr">
        <is>
          <t>HGWNK-88102</t>
        </is>
      </c>
      <c r="B588" s="2" t="inlineStr">
        <is>
          <t>Homeguard HGWNK-88102 Vezeték nélküli biztonsági rendszer</t>
        </is>
      </c>
      <c r="C588" s="1" t="n">
        <v>134990.0</v>
      </c>
      <c r="D588" s="7" t="n">
        <f>HYPERLINK("https://www.somogyi.hu/product/homeguard-hgwnk-88102-vezetek-nelkuli-biztonsagi-rendszer-hgwnk-88102-18572","https://www.somogyi.hu/product/homeguard-hgwnk-88102-vezetek-nelkuli-biztonsagi-rendszer-hgwnk-88102-18572")</f>
        <v>0.0</v>
      </c>
      <c r="E588" s="7" t="n">
        <f>HYPERLINK("https://www.somogyi.hu/data/img/product_main_images/small/18572.jpg","https://www.somogyi.hu/data/img/product_main_images/small/18572.jpg")</f>
        <v>0.0</v>
      </c>
      <c r="F588" s="2" t="inlineStr">
        <is>
          <t>5060442178113</t>
        </is>
      </c>
      <c r="G588" s="4" t="inlineStr">
        <is>
          <t>Olyan megbízható biztonsági rendszert keres, amely szinte minden szempontból védi otthonát? A Homeguard HGWNK-88102 vezeték nélküli biztonsági rendszer ideális választás, ha teljes körű védelmet szeretne otthonában vagy irodájában. Ez a rendszer egy intelligens Wi-Fi Smart Hub-ot és két nagy teljesítményű kamerát tartalmaz, amelyek számos fejlett funkcióval rendelkeznek.
Wi-Fi Smart Hub:
A központi egység 2K QHD (2560x1440) felbontású videókat rögzít, melyek kiváló részletgazdagságot biztosítanak. A H.265 / H.264 videó tömörítés hatékony adatkezelést tesz lehetővé, és összesen 8 kamerát támogat. A kézi, automatikus és mozgásérzékelés alapú felvételi módok rugalmas megfigyelést tesznek lehetővé. Az AI emberérzékelés funkcióval a rendszer pontosan felismeri a jelenlévő embereket, minimalizálva a téves riasztásokat.
A tárolási lehetőségek közé tartozik a 2,5" HDD és MicroSD kártya támogatás, maximum 256 GB kapacitással. Az adatvédelmi zónák és tevékenységi zónák beállítása tovább növeli a biztonságot és a felhasználói élményt. A rendszernek HDMI videokimenete van, amely többféle felbontást támogat, beleértve a 4K UHD-t (3840x2160). A vezeték nélküli hálózat 2,4 GHz-es Wi-Fi (IEEE802.11 b/g/n) technológiát használ a megbízható kapcsolat érdekében.
Vezeték nélküli kamerák (HGWBK-353):
A kamerák 1/2,7" Progressive Scan CMOS érzékelővel és 2,8mm fix lencsével rendelkeznek, amelyek 140° széles látószöget biztosítanak. A 4MP QHD (2560x1440 pixel) felbontás kiváló videó minőséget nyújt, és a H.256 / H.264 videó tömörítés segít a tárhely gazdaságos kihasználásában. A kamerák 365 napos akkumulátor élettartammal rendelkeznek, köszönhetően az újratölthető 11600 mAh lítium akkumulátornak, amely Type-C porton keresztül tölthető.
A színes éjjellátás 20 méterig, míg a fekete-fehér éjjellátás 30 méterig terjed, biztosítva a tiszta képeket még sötétben is. A 100 dB-es sziréna és a kétirányú hangkommunikáció (mikrofon és hangszóró) további biztonságot és interakciós lehetőséget nyújt. A kamerák 3D zajcsökkentéssel, reflektorfénnyel és piros-kék figyelmeztető fényekkel is fel vannak szerelve.
A kamerák IP66 besorolásúak, így időjárásállók és megbízhatóak szélsőséges körülmények között is. A Homeguardlive applikációval könnyedén vezérelheti és monitorozhatja a kamerát bármikor, bárhonnan.
Ne habozzon, válassza a Homeguard HGWNK-88102 vezeték nélküli biztonsági rendszert, és élvezze a nyugalmat, amit az átfogó védelem nyújt otthonában!</t>
        </is>
      </c>
    </row>
    <row r="589">
      <c r="A589" s="3" t="inlineStr">
        <is>
          <t>HGWOB-256</t>
        </is>
      </c>
      <c r="B589" s="2" t="inlineStr">
        <is>
          <t>Homeguard HGWOB-256 2K Super HD Wi-Fi SMART IP kamera</t>
        </is>
      </c>
      <c r="C589" s="1" t="n">
        <v>18590.0</v>
      </c>
      <c r="D589" s="7" t="n">
        <f>HYPERLINK("https://www.somogyi.hu/product/homeguard-hgwob-256-2k-super-hd-wi-fi-smart-ip-kamera-hgwob-256-18569","https://www.somogyi.hu/product/homeguard-hgwob-256-2k-super-hd-wi-fi-smart-ip-kamera-hgwob-256-18569")</f>
        <v>0.0</v>
      </c>
      <c r="E589" s="7" t="n">
        <f>HYPERLINK("https://www.somogyi.hu/data/img/product_main_images/small/18569.jpg","https://www.somogyi.hu/data/img/product_main_images/small/18569.jpg")</f>
        <v>0.0</v>
      </c>
      <c r="F589" s="2" t="inlineStr">
        <is>
          <t>5060442172562</t>
        </is>
      </c>
      <c r="G589" s="4" t="inlineStr">
        <is>
          <t>Szeretné biztonságban tudni otthonát bármilyen időjárási körülmények között? A Homeguard HGWOB-256 kül- és beltéri 2K biztonsági kamera az ideális megoldás a teljes körű védelem érdekében. 
Ez a csúcstechnológiás biztonsági kamera kiválóan alkalmas bel- és kültéri használatra, garantálva a folyamatos megfigyelést.
A kamera 1 / 2,9"" Progressive Scan CMOS érzékelője tiszta és részletgazdag képet nyújt. 110° széles látószögének köszönhetően a kamera széles területet képes lefedni, így egyetlen fontos részlet sem marad rejtve. Éjszaka is tökéletesen működik, akár 15 méteres éjszakai látásának köszönhetően. A 2K QHD (2560x1440 pixel) felbontás garantálja a kiváló képminőséget, 30 képkocka per másodperces sebességgel, míg a H.264 technológiával hatékonyan tömöríti a videókat, így kevesebb tárhelyet igényel.
A kamera beépített szirénával van felszerelve, ami segít a behatolók elrettentésében. A kétirányú beszélgetés funkcióval, a mikrofon és hangszóró lehetővé teszi a közvetlen kommunikációt a kamerán keresztül. Az intelligens AI algoritmusok pontosan felismerik az embereket, járműveket és kisállatokat, így mindig tudni fogja, mi történik a környezetében.
A tárolási lehetőségek is kiválóak, hiszen a kamera támogatja a MicroSD kártyát 256 GB-ig, valamint 30 napos ingyenes felhőalapú tárolást is biztosít. A gyors és stabil adatátvitel érdekében a kamera 2,4 GHz-es Wi-Fi kapcsolattal rendelkezik.
Az időjárási viszonyokkal szembeni ellenállóságát IP66 besorolás biztosítja, működési hőmérséklete -10 és 50 °C között van, és páratartalom-tűrése 10-90%. A tápellátását egy DC 5V / 1A, &lt;3,6W adapter szolgáltatja, kompakt méreteinek (60x60x124mm) köszönhetően könnyedén elhelyezhető bárhol. A Homeguardlive applikációval könnyedén vezérelheti és monitorozhatja a kamerát bármikor, bárhonnan.
Válassza a Homeguard HGWOB-256 kül- és beltéri biztonsági kamerát, hogy otthona biztonságát a legmodernebb technológiával garantálja!</t>
        </is>
      </c>
    </row>
    <row r="590">
      <c r="A590" s="3" t="inlineStr">
        <is>
          <t>HGWBK-353</t>
        </is>
      </c>
      <c r="B590" s="2" t="inlineStr">
        <is>
          <t>Homeguard HGWBK-353 kiegészítő kamera HGWNK-88102 rendszerhez</t>
        </is>
      </c>
      <c r="C590" s="1" t="n">
        <v>34990.0</v>
      </c>
      <c r="D590" s="7" t="n">
        <f>HYPERLINK("https://www.somogyi.hu/product/homeguard-hgwbk-353-kiegeszito-kamera-hgwnk-88102-rendszerhez-hgwbk-353-18573","https://www.somogyi.hu/product/homeguard-hgwbk-353-kiegeszito-kamera-hgwnk-88102-rendszerhez-hgwbk-353-18573")</f>
        <v>0.0</v>
      </c>
      <c r="E590" s="7" t="n">
        <f>HYPERLINK("https://www.somogyi.hu/data/img/product_main_images/small/18573.jpg","https://www.somogyi.hu/data/img/product_main_images/small/18573.jpg")</f>
        <v>0.0</v>
      </c>
      <c r="F590" s="2" t="inlineStr">
        <is>
          <t>5060442173538</t>
        </is>
      </c>
      <c r="G590" s="4" t="inlineStr">
        <is>
          <t>Szeretné bővíteni HGWNK-88102 biztonsági rendszerét egy megbízható és hatékony kiegészítő kamerával? A Homeguard HGWBK-353 kiegészítő kamera tökéletes választás, ha tovább szeretné növelni otthona vagy irodája biztonságát. 
Ez a kamera számos fejlett funkcióval rendelkezik, amelyek garantálják a magas szintű védelmet és a kiváló képminőséget. 1/2,7" Progressive Scan CMOS képérzékelővel van felszerelve, amely éles és részletgazdag képeket biztosít. A 2,8mm fix lencse és a 140°-os széles látószög lehetővé teszi, hogy széles területet figyeljen meg, így egyetlen fontos részlet sem marad rejtve. A 4MP QHD (2560x1440 pixel) felbontású videók minősége lenyűgöző, és a H.256 / H.264 videó tömörítés hatékonyan kezeli a tárhelyet. A kamera képkockasebessége maximum 15 fps, így folyamatos és sima videókat biztosít.
Az újratölthető 11600 mAh lítium akkumulátor akár 365 napos üzemidőt is biztosít, így nem kell gyakran tölteni. Az akkumulátor Type-C porton keresztül tölthető, és a kamera DC 5V, 2A tápellátással működik. A színes éjjellátás 20 méteres, míg a fekete-fehér éjjellátás 30 méteres távolságig nyújt tiszta képeket éjszaka is. A kamera kétirányú hangkommunikációval rendelkezik, amely lehetővé teszi a közvetlen beszélgetést a mikrofon és hangszóró segítségével. A beépített 100 dB-es sziréna és a 3D zajcsökkentés további biztonságot nyújt. A reflektorfény és a piros-kék figyelmeztető fények segítenek a behatolók elriasztásában. IP66 besorolású, így időjárásálló és megbízható szélsőséges körülmények között is, üzemi hőmérséklete -20 és 50°C között van, és páratartalom-tűrése &lt;90%.
A Homeguard HGWBK-353 kiegészítő kamera nettó tömege 450g és méretei 52x125,5x78mm, így könnyedén elhelyezhető bárhol, ahol szükség van rá.
Ne habozzon, válassza a Homeguard HGWBK-353 kiegészítő kamerát, és tegye még biztonságosabbá otthonát a HGWNK-88102 biztonsági rendszer bővítésével!</t>
        </is>
      </c>
    </row>
    <row r="591">
      <c r="A591" s="3" t="inlineStr">
        <is>
          <t>HGWBK-353RB</t>
        </is>
      </c>
      <c r="B591" s="2" t="inlineStr">
        <is>
          <t>Homeguard HGWBK-353RB tartalék akkumulátor HGWBK-353 kamerához</t>
        </is>
      </c>
      <c r="C591" s="1" t="n">
        <v>10790.0</v>
      </c>
      <c r="D591" s="7" t="n">
        <f>HYPERLINK("https://www.somogyi.hu/product/homeguard-hgwbk-353rb-tartalek-akkumulator-hgwbk-353-kamerahoz-hgwbk-353rb-18574","https://www.somogyi.hu/product/homeguard-hgwbk-353rb-tartalek-akkumulator-hgwbk-353-kamerahoz-hgwbk-353rb-18574")</f>
        <v>0.0</v>
      </c>
      <c r="E591" s="7" t="n">
        <f>HYPERLINK("https://www.somogyi.hu/data/img/product_main_images/small/18574.jpg","https://www.somogyi.hu/data/img/product_main_images/small/18574.jpg")</f>
        <v>0.0</v>
      </c>
      <c r="F591" s="2" t="inlineStr">
        <is>
          <t>5060442173545</t>
        </is>
      </c>
      <c r="G591" s="4" t="inlineStr">
        <is>
          <t>Szüksége van egy megbízható tartalék akkumulátorra Homeguard HGWBK-353 kamerájához, hogy soha ne maradjon védelem nélkül? A Homeguard HGWBK-353RB tartalék akkumulátor a tökéletes megoldás, hogy mindig biztosíthassa kamerája folyamatos működését. 
Ezzel az akkumulátorral garantáltan hosszabb üzemidőt és megbízhatóságot érhet el. Az akkumulátor tápfeszültsége 5V, ami biztosítja a stabil és hatékony energiaellátást. 11600 mAh kapacitásának köszönhetően hosszú üzemidőt nyújt, így nem kell aggódnia a kamera gyakori töltése miatt. Kompakt mérete (72,5x46,5x40mm) lehetővé teszi a könnyű cserét és telepítést, anélkül, hogy bonyodalmat okozna. Az akkumulátor súlya mindössze 210g, így nem növeli jelentősen a kamera súlyát, megőrizve annak mobilitását és könnyű használatát.
A Homeguard HGWBK-353RB tartalék akkumulátor ideális választás minden HGWBK-353 kamera tulajdonos számára, aki biztosítani szeretné a zavartalan működést, különösen akkor, ha hosszabb ideig nincs lehetőség a kamera hálózati töltésére.
Ne hagyja, hogy a lemerült akkumulátor veszélyeztesse otthona biztonságát – válassza a Homeguard HGWBK-353RB tartalék akkumulátort, és élvezze a folyamatos védelmet!</t>
        </is>
      </c>
    </row>
    <row r="592">
      <c r="A592" s="3" t="inlineStr">
        <is>
          <t>DH-H2A</t>
        </is>
      </c>
      <c r="B592" s="2" t="inlineStr">
        <is>
          <t>Dahua DH-H2A Wi-Fi-s beltéri kamera, felbontás 1920x1080, 2MP, mozgásérzékelés, LAN port, 360°</t>
        </is>
      </c>
      <c r="C592" s="1" t="n">
        <v>12990.0</v>
      </c>
      <c r="D592" s="7" t="n">
        <f>HYPERLINK("https://www.somogyi.hu/product/dahua-dh-h2a-wi-fi-s-belteri-kamera-felbontas-1920x1080-2mp-mozgaserzekeles-lan-port-360-dh-h2a-19043","https://www.somogyi.hu/product/dahua-dh-h2a-wi-fi-s-belteri-kamera-felbontas-1920x1080-2mp-mozgaserzekeles-lan-port-360-dh-h2a-19043")</f>
        <v>0.0</v>
      </c>
      <c r="E592" s="7" t="n">
        <f>HYPERLINK("https://www.somogyi.hu/data/img/product_main_images/small/19043.jpg","https://www.somogyi.hu/data/img/product_main_images/small/19043.jpg")</f>
        <v>0.0</v>
      </c>
      <c r="F592" s="2" t="inlineStr">
        <is>
          <t>6939554913976</t>
        </is>
      </c>
      <c r="G592" s="4" t="inlineStr">
        <is>
          <t>Szeretné, ha otthona vagy irodája mindig biztonságban lenne, akár távolról is? A Dahua DH-H2A Wi-Fi-s beltéri kamera minden igényét kielégíti, hiszen csúcstechnológiát és megbízható biztonságot kínál. A felhasználóbarát kamera egyszerűen telepíthető, és számos hasznos funkcióval segít, hogy mindig tisztában legyen azzal, mi történik a megfigyelt területen.
Kiváló képminőség és rögzítési képességek
A kamera 2 megapixeles CMOS képérzékelője kristálytiszta képeket biztosít 1920 x 1080 pixel (Full HD) felbontásban. A 3,6 mm-es lencsével és F2.0 maximális rekesznyílással rendelkező kamera rendkívül jó fényérzékenységgel bír, így gyenge fényviszonyok között is éles és részletgazdag felvételeket készít. A látószög is kimagasló: 79° vízszintes, 43° függőleges és 94° átlós látószöggel a kamera nagy területet képes lefedni egyetlen pozícióból.
A felvételi képességekhez tartozik a H.265 videótömörítés, amely lehetővé teszi a hatékony tárhelykezelést, miközben megőrzi a felvételek magas minőségét. A kamera képes akár 25 képkocka/másodperces (fps) sebességgel is rögzíteni Full HD felbontásban, de választható alacsonyabb, 640 x 480 felbontás is, ha kisebb méretű videófájlokat szeretne készíteni.
Nappali és éjszakai megfigyelés kompromisszumok nélkül
A Dahua DH-H2A kamera minden napszakban hatékonyan működik. A nappal/éjszaka funkció automatikusan vált színes felvételekről fekete-fehér éjszakai módra, amint csökken a fényviszony. A beépített infravörös LED világítás akár 10 méteres távolságig is biztosítja, hogy az éjszakai felvételek tiszták és részletgazdagok legyenek. Az infravörös világítás automatikusan bekapcsol, amikor a kamera észleli, hogy a megvilágítás szintje nem elegendő, így Ön mindig a legjobb minőségű képeket kapja.
360°-os teljes lefedettség és mozgásérzékelés A kamera egyik legnagyobb előnye a teljes panorámás pásztázási képesség, amely lehetővé teszi a 0°-355° közötti forgatást és a -5° és +80° közötti dönthetőséget. Ezzel a flexibilitással a kamera bármelyik szegletét meg tudja figyelni a helyiségnek, így nincsenek vakfoltok. Az intelligens mozgásérzékelés funkció négy területre bontható, így Ön személyre szabhatja, hogy mely zónákban szeretne mozgásra reagáló felvételeket készíteni vagy értesítéseket kapni. A kamera azonnal felvételt indít vagy riasztást küld, ha mozgást érzékel, így Ön mindig az események középpontjában maradhat.
Hangfunkciók és kétirányú kommunikáció
A kamera beépített mikrofonnal és hangszóróval is rendelkezik, amely lehetővé teszi a valós idejű, kétirányú kommunikációt. Így Ön  figyelmeztetheti a behatolókat, vagy akár beszélhet családtagjaival vagy kollégáival, mindezt mobiltelefonjáról , az ingyenes DMSS alkalmazás segítségével. Az audió tömörítést a G.711a szabvány biztosítja, amely kiváló hangminőséget nyújt, így mindig tisztán érthető lesz, amit mond.
Egyszerű és stabil csatlakozás
A kamera kétféle hálózati kapcsolódási lehetőséget is kínál. Az egyszerűbb és gyorsabb telepítés érdekében használhatja a beépített Wi-Fi modult, amely IEEE 802.11b/g/n szabványt támogat, és 2.4 GHz-es frekvencián működik. Ezáltal könnyedén csatlakoztathatja az otthoni vagy irodai hálózathoz, anélkül, hogy kábelezni kellene.
Ha még stabilabb kapcsolatot szeretne, a kamera rendelkezik RJ-45 LAN porttal is, amely 10/100 Mbps sebességű vezetékes kapcsolatot biztosít. A kameránál használt H.265 tömörítés lehetővé teszi a nagyobb felvételek kezelését is anélkül, hogy túlterhelné a hálózatot vagy a tárhelyet.
Riasztási események és adattárolás
A Dahua DH-H2A nemcsak mozgásérzékeléssel küld riasztásokat, hanem más eseményekre is figyelmeztethet. Például, ha a microSD kártya megtelt, ha nem található a helyén, ha hálózati probléma merül fel, vagy ha hangérzékelés lép működésbe, a kamera automatikusan értesítést küld. A készülék támogatja a 256 GB-os microSD kártyákat, amelyeken jelentős mennyiségű videofelvételt tud tárolni. Így nem kell aggódnia a folyamatos felügyelet és a nagy felbontású videók miatt sem.
Alacsony energiafogyasztás és hosszú élettartam
A kamera kivételesen energiatakarékos működésű. Alapüzemben mindössze 1.7 W-ot fogyaszt, maximális terhelés (pl. egyidejű videostream, IR világítás és PTZ funkciók használata) mellett is csak 3.5 W-ot vesz fel. Ez a kis fogyasztás azt jelenti, hogy a kamera nem csak biztonságot, hanem hosszú távon alacsony üzemeltetési költségeket is nyújt. -10°C és +45°C közötti hőmérsékleten működik, így megbízhatóan használható a legtöbb beltéri környezetben, még ha szélsőségesebb hőmérsékleti viszonyok is fordulnak elő. Az eszköz burkolata strapabíró műanyagból készült, így hosszú élettartamú és ellenáll a kisebb mechanikai behatásoknak is.
Kényelmes távvezérlés és riasztások a DMSS alkalmazással
A Dahua DH-H2A kamera támogatja a DMSS alkalmazást, amely elérhető iOS és Android eszközökre egyaránt. Az alkalmazás lehetővé teszi, hogy a kamera beállításait távolról módosítsa, élőképet nézzen, visszajátszást végezzen, és valós idejű riasztásokat kapjon, ha a kamera mozgást vagy más eseményt észlel. Így Ön bárhol is legyen, mindig kapcsolatban maradhat otthonával vagy irodájával.
Ez a kamera a biztonság és a kényelem tökéletes kombinációját kínálja. Kiváló képminőség, 360°-os lefedettség, éjjellátó funkció, mozgásérzékelés, kétirányú kommunikáció és egyszerű telepíthetőség – minden olyan tulajdonsággal rendelkezik, amelyre szüksége lehet egy modern beltéri biztonsági kameránál. Az energiatakarékos kialakítás és a széleskörű funkcionalitás teszi ezt a kamerát a piacon elérhető egyik legjobb választássá.</t>
        </is>
      </c>
    </row>
    <row r="593">
      <c r="A593" s="3" t="inlineStr">
        <is>
          <t>HGBSP-350</t>
        </is>
      </c>
      <c r="B593" s="2" t="inlineStr">
        <is>
          <t>Homeguard HGBSP-350 Napelem HGWBK-353 kamerához</t>
        </is>
      </c>
      <c r="C593" s="1" t="n">
        <v>10190.0</v>
      </c>
      <c r="D593" s="7" t="n">
        <f>HYPERLINK("https://www.somogyi.hu/product/homeguard-hgbsp-350-napelem-hgwbk-353-kamerahoz-hgbsp-350-18570","https://www.somogyi.hu/product/homeguard-hgbsp-350-napelem-hgwbk-353-kamerahoz-hgbsp-350-18570")</f>
        <v>0.0</v>
      </c>
      <c r="E593" s="7" t="n">
        <f>HYPERLINK("https://www.somogyi.hu/data/img/product_main_images/small/18570.jpg","https://www.somogyi.hu/data/img/product_main_images/small/18570.jpg")</f>
        <v>0.0</v>
      </c>
      <c r="F593" s="2" t="inlineStr">
        <is>
          <t>5060442173507</t>
        </is>
      </c>
      <c r="G593" s="4" t="inlineStr">
        <is>
          <t>Szeretne megbízható és környezetbarát energiaforrást biztonsági kamerái számára? A Homeguard HGBSP-350 napelemes töltő tökéletes megoldás, hogy biztonsági rendszere folyamatosan működjön, anélkül, hogy a hálózati áramra kellene támaszkodnia. 
Ezzel a napelemes töltővel biztosíthatja, hogy kamerái mindig üzemképesek maradjanak, még a legnehezebb időjárási körülmények között is. USB-C csatlakozóval rendelkezik, és mágneses tápkábellel van ellátva, ami egyszerű és biztonságos csatlakozást tesz lehetővé. A 360°-ban állítható rögzítő konzol lehetővé teszi, hogy a napelemet optimálisan pozicionálja, hogy a legtöbb napfényt kapja. A 4 méter hosszú kábel elegendő rugalmasságot biztosít a tökéletes elhelyezéshez.
A Homeguard HGBSP-350 teljesítménye 3,2W, amely elegendő energiát biztosít a kompatibilis biztonsági kamerák folyamatos működéséhez. Az IP66 időjárásálló besorolás garantálja, hogy a napelem bírja az esőt, havat és egyéb zord időjárási körülményeket is. A kompakt méretei (185 x 120 x 6,5 mm) és könnyű súlya (274 g) lehetővé teszik az egyszerű telepítést és elhelyezést bárhol, ahol szükség van rá.
A HGBSP-350 kompatibilis a következő Homeguard termékekkel: HGWNK-108402, HGWNK-108404, HGWNK-108406, HGWNK-88102, HGWNK-88104, és HGWNK-88106. Így bármelyik ezek közül a rendszerek közül van otthonában, biztos lehet benne, hogy a HGBSP-350 megbízható energiaforrást nyújt.
Válassza a Homeguard HGBSP-350 napelemes töltőt, hogy biztonsági rendszere mindig működjön, és élvezze a megújuló energia előnyeit!</t>
        </is>
      </c>
    </row>
    <row r="594">
      <c r="A594" s="3" t="inlineStr">
        <is>
          <t>WILDCAM1</t>
        </is>
      </c>
      <c r="B594" s="2" t="inlineStr">
        <is>
          <t>Home WILDCAM1 vadkamera, digitális fényképezőgép, time-lapse, PIR mozgásérzékelő, éjszakai mód, vízálló</t>
        </is>
      </c>
      <c r="C594" s="1" t="n">
        <v>15990.0</v>
      </c>
      <c r="D594" s="7" t="n">
        <f>HYPERLINK("https://www.somogyi.hu/product/home-wildcam1-vadkamera-digitalis-fenykepezogep-time-lapse-pir-mozgaserzekelo-ejszakai-mod-vizallo-wildcam1-18582","https://www.somogyi.hu/product/home-wildcam1-vadkamera-digitalis-fenykepezogep-time-lapse-pir-mozgaserzekelo-ejszakai-mod-vizallo-wildcam1-18582")</f>
        <v>0.0</v>
      </c>
      <c r="E594" s="7" t="n">
        <f>HYPERLINK("https://www.somogyi.hu/data/img/product_main_images/small/18582.jpg","https://www.somogyi.hu/data/img/product_main_images/small/18582.jpg")</f>
        <v>0.0</v>
      </c>
      <c r="F594" s="2" t="inlineStr">
        <is>
          <t>5999084966003</t>
        </is>
      </c>
      <c r="G594" s="4" t="inlineStr">
        <is>
          <t>Szeretné megfigyelni a természetet vagy biztonságban tudni otthonát éjjel-nappal? A Home WILDCAM1 vadkamera ideális választás mindazok számára, akik megbízható és sokoldalú megfigyelési eszközt keresnek. 
Ez a 3 az 1-ben készülék mozgásra, manuálisan és time-lapse módban is készít felvételeket, így tökéletesen alkalmazható a természetben vagy a ház körül, állatok és behatolók megfigyelésére. A vadkamera egyaránt működik fényképezőgépként és FullHD videókameraként, egyidejűleg készítve fényképeket és videókat.
A Home WILDCAM1 beépített fény- és mozgásérzékelővel, valamint 38 LED-es infravörös reflektorral rendelkezik, amely kb. 10 méteres hatótávolságot biztosít éjjel-nappal. A 0.8 másodperces gyors reakcióidő és a 2.00” színes TFT LCD képernyő lehetővé teszi a gyors és egyszerű beállítást és megtekintést. Az állítható kioldási időköz és videóhossz, valamint az időzíthető felvételek további rugalmasságot biztosítanak.
A képeken dátum, időpont, holdfázis és hőmérséklet is megjelenik, így minden fontos információ rendelkezésére áll. Az ultra alacsony készenléti fogyasztás és a max. 32GB Class10+ microSD kártya támogatás (nem tartozék) hosszú távú és megbízható működést garantál. Az IP66 szintű védettség por és víz ellen biztosítja, hogy a kamera a legkeményebb körülmények között is helytálljon. A vadkamera tartozék rögzítő hevederrel, 4x vagy 8xAA elemmel működik (nem tartozék), amely kb. 6 hónap készenléti időt biztosít, de külső DC tápellátási lehetőség is elérhető (6V/2A, nem tartozék).
Ne hagyja ki a lehetőséget, hogy egy ilyen sokoldalú és megbízható eszközt szerezzen be! Rendelje meg most a Home WILDCAM1 vadkamerát, és biztosítsa magát a természet és otthona figyelésére!</t>
        </is>
      </c>
    </row>
    <row r="595">
      <c r="A595" s="3" t="inlineStr">
        <is>
          <t>HGWIP-212</t>
        </is>
      </c>
      <c r="B595" s="2" t="inlineStr">
        <is>
          <t>Homeguard HGWIP-212 2K Super HD Wi-Fi SMART IP kamera</t>
        </is>
      </c>
      <c r="C595" s="1" t="n">
        <v>20990.0</v>
      </c>
      <c r="D595" s="7" t="n">
        <f>HYPERLINK("https://www.somogyi.hu/product/homeguard-hgwip-212-2k-super-hd-wi-fi-smart-ip-kamera-hgwip-212-18568","https://www.somogyi.hu/product/homeguard-hgwip-212-2k-super-hd-wi-fi-smart-ip-kamera-hgwip-212-18568")</f>
        <v>0.0</v>
      </c>
      <c r="E595" s="7" t="n">
        <f>HYPERLINK("https://www.somogyi.hu/data/img/product_main_images/small/18568.jpg","https://www.somogyi.hu/data/img/product_main_images/small/18568.jpg")</f>
        <v>0.0</v>
      </c>
      <c r="F595" s="2" t="inlineStr">
        <is>
          <t>5060442172135</t>
        </is>
      </c>
      <c r="G595" s="4" t="inlineStr">
        <is>
          <t>Szeretné nyomon követni, ami otthonában történik, még távolról is? A Homeguard HGWIP-212 intelligens IP kamera tökéletes megoldást nyújt, hogy minden részletet szemmel tarthasson. 
Ez a kamera a legújabb technológiát kínálja, hogy otthona mindig biztonságban legyen. 1/3" Progressive Scan CMOS érzékelője kristálytiszta és részletgazdag képeket biztosít. A 110°-os széles látószög lehetővé teszi, hogy egyetlen pillantással nagy területet fedjen le. Éjszaka is megbízhatóan működik, hiszen akár 8 méteres távolságig képes tiszta képeket rögzíteni. A 2K QHD (2560x1440 pixel) felbontású videók minősége lenyűgöző, és a H.264 videó tömörítés hatékonyan kezeli a tárhelyet. A kamera képkockasebessége maximum 30 fps, így folyamatos és sima videókat biztosít.
A 8x digitális zoom segítségével a legapróbb részletek sem maradnak rejtve. A vízszintes 350°-os és függőleges 80°-os pásztázási és döntési képességek lehetővé teszik a kamera távvezérlését és teljes körű megfigyelését. A beépített sziréna és a kétirányú beszélgetési funkció (mikrofon és hangszóró) további biztonságot és interakciós lehetőséget nyújt.
Az intelligens AI objektumészlelés technológia felismeri az embereket, járműveket és kisállatokat, így mindig pontosan tudhatja, mi történik környezetében. A helyi tárhely opció lehetővé teszi, hogy akár 256 GB kapacitású MicroSD kártyát is használjon, és a 30 napos ingyenes felhőalapú tárolás biztosítja, hogy felvételei mindig biztonságban legyenek. A nagy sebességű 2,4 GHz-es Wi-Fi kapcsolat megbízható és gyors adatátvitelt biztosít. A kamera üzemi hőmérséklete -10 és 40 °C között van, és páratartalom-tűrése 10-90%, így széles körű beltéri alkalmazásokra alkalmas. A kompakt méretei (82x82x112mm) és 180g-os súlya révén könnyedén elhelyezhető bárhol otthonában. A tápellátása DC 5V / 1A, kevesebb mint 6W fogyasztással.
A Homeguardlive applikációval könnyedén vezérelheti és monitorozhatja a kamerát bármikor, bárhonnan.
Ne hagyja ki ezt a lehetőséget, és válassza a Homeguard HGWIP-212 intelligens IP kamerát, hogy otthona biztonságát a legmodernebb technológiával garantálja!</t>
        </is>
      </c>
    </row>
    <row r="596">
      <c r="A596" s="6" t="inlineStr">
        <is>
          <t xml:space="preserve">   Lakáskiegészítő / Álkamera</t>
        </is>
      </c>
      <c r="B596" s="6" t="inlineStr">
        <is>
          <t/>
        </is>
      </c>
      <c r="C596" s="6" t="inlineStr">
        <is>
          <t/>
        </is>
      </c>
      <c r="D596" s="6" t="inlineStr">
        <is>
          <t/>
        </is>
      </c>
      <c r="E596" s="6" t="inlineStr">
        <is>
          <t/>
        </is>
      </c>
      <c r="F596" s="6" t="inlineStr">
        <is>
          <t/>
        </is>
      </c>
      <c r="G596" s="6" t="inlineStr">
        <is>
          <t/>
        </is>
      </c>
    </row>
    <row r="597">
      <c r="A597" s="3" t="inlineStr">
        <is>
          <t>HSK 120</t>
        </is>
      </c>
      <c r="B597" s="2" t="inlineStr">
        <is>
          <t>Home HSK 120 álkamera, valódi dómkameraforma, villogó piros LED, egyszerű ki/be kapcsolás, gyors és könnyű felszerelés, elemes tápellátás</t>
        </is>
      </c>
      <c r="C597" s="1" t="n">
        <v>2090.0</v>
      </c>
      <c r="D597" s="7" t="n">
        <f>HYPERLINK("https://www.somogyi.hu/product/home-hsk-120-alkamera-valodi-domkameraforma-villogo-piros-led-egyszeru-ki-be-kapcsolas-gyors-es-konnyu-felszereles-elemes-tapellatas-hsk-120-10280","https://www.somogyi.hu/product/home-hsk-120-alkamera-valodi-domkameraforma-villogo-piros-led-egyszeru-ki-be-kapcsolas-gyors-es-konnyu-felszereles-elemes-tapellatas-hsk-120-10280")</f>
        <v>0.0</v>
      </c>
      <c r="E597" s="7" t="n">
        <f>HYPERLINK("https://www.somogyi.hu/data/img/product_main_images/small/10280.jpg","https://www.somogyi.hu/data/img/product_main_images/small/10280.jpg")</f>
        <v>0.0</v>
      </c>
      <c r="F597" s="2" t="inlineStr">
        <is>
          <t>5998312788899</t>
        </is>
      </c>
      <c r="G597" s="4" t="inlineStr">
        <is>
          <t>Hogyan növelheti otthona vagy üzlete biztonságát egyszerűen és költséghatékonyan? A Home HSK 120 álkamera egy praktikus és esztétikus megoldás, amely az élethű dómkamera formának köszönhetően hatékonyan elriasztja az illetéktelen behatolókat. A villogó piros LED tovább fokozza a valódi biztonsági kamera látszatát, miközben a telepítése gyors és egyszerű.
Élethű dómkamera forma és figyelemfelkeltő LED
A készülék kialakítása a valódi dómkamerák megjelenését idézi, így hitelesen mutat egy profi biztonsági rendszer részeként. A folyamatosan villogó piros LED vizuálisan figyelmezteti a behatolókat, hogy a terület megfigyelés alatt áll. Ez a megtévesztően valósághű dizájn ideális választás mind otthonok, mind üzletek számára.
Egyszerű használat és telepítés
A Home HSK 120 álkamera ki- és bekapcsolása rendkívül egyszerű, így mindig az aktuális igényekhez igazítható a működése. A felszerelése sem igényel különleges eszközöket vagy szakértelmet, hiszen a kamera könnyen és gyorsan rögzíthető bármilyen sík felületre. Ez a gyors telepítés lehetővé teszi, hogy azonnal használatba vegye a készüléket.
Energiatakarékos és vezeték nélküli működés
Az eszköz működéséhez mindössze 2 darab AA elem szükséges (nem tartozék), amely hosszú üzemidőt biztosít, miközben lehetővé teszi a teljesen vezeték nélküli használatot. Ez nemcsak rugalmas elhelyezést garantál, hanem a rendszer rugalmasságát is növeli, hiszen bármikor áthelyezhető másik helyszínre.
Ideális választás különféle helyszínekre
Fedett bejáratok vagy üzlethelyiségek biztosítására tökéletes megoldást nyújt, és hatékonyan növeli a helyszín biztonságérzetét.
Miért érdemes a Home HSK 120 kültéri álkamerát választani?
Ez az álkamera nemcsak költséghatékony megoldást kínál, hanem esztétikus és megbízható kiegészítője lehet bármely biztonsági rendszernek. Az élethű dizájn, az egyszerű használat és a könnyű telepítés révén kiváló választás mindazok számára, akik gyorsan és hatékonyan szeretnék növelni otthonuk vagy üzletük biztonságát.
Tegye otthonát vagy üzletét még biztonságosabbá a Home HSK 120 álkamera segítségével, amely egyszerre hiteles és praktikus megoldást nyújt!</t>
        </is>
      </c>
    </row>
    <row r="598">
      <c r="A598" s="3" t="inlineStr">
        <is>
          <t>HSK150</t>
        </is>
      </c>
      <c r="B598" s="2" t="inlineStr">
        <is>
          <t>Home HSK150 dóm álkamera, villogó piros LED, be/ki kapcsolható a fényjelzés, gyors és könnyű felszerelés mennyezetre vagy oldalfalra, elemes tápellátás</t>
        </is>
      </c>
      <c r="C598" s="1" t="n">
        <v>3690.0</v>
      </c>
      <c r="D598" s="7" t="n">
        <f>HYPERLINK("https://www.somogyi.hu/product/home-hsk150-dom-alkamera-villogo-piros-led-be-ki-kapcsolhato-a-fenyjelzes-gyors-es-konnyu-felszereles-mennyezetre-vagy-oldalfalra-elemes-tapellatas-hsk150-19008","https://www.somogyi.hu/product/home-hsk150-dom-alkamera-villogo-piros-led-be-ki-kapcsolhato-a-fenyjelzes-gyors-es-konnyu-felszereles-mennyezetre-vagy-oldalfalra-elemes-tapellatas-hsk150-19008")</f>
        <v>0.0</v>
      </c>
      <c r="E598" s="7" t="n">
        <f>HYPERLINK("https://www.somogyi.hu/data/img/product_main_images/small/19008.jpg","https://www.somogyi.hu/data/img/product_main_images/small/19008.jpg")</f>
        <v>0.0</v>
      </c>
      <c r="F598" s="2" t="inlineStr">
        <is>
          <t>5999084970024</t>
        </is>
      </c>
      <c r="G598" s="4" t="inlineStr">
        <is>
          <t>Hogyan fokozhatja otthona vagy üzlete biztonságérzetét egyszerűen, vezeték nélkül?
A HOME HSK150 dóm álkamera kiváló megoldás azok számára, akik hatékony figyelmeztető eszközt keresnek anélkül, hogy bonyolult rendszereket telepítenének. Élethű biztonsági kamera megjelenésével és villogó piros LED-jével nappal és éjszaka is hatékonyan jelzi a „látható biztonságot”.
Esztétikus, diszkrét és élethű kivitel
Az álkamera fehér színe elegáns megjelenést kölcsönöz bármely helyiségnek, legyen az lakás, üzlet vagy munkahely. Formatervezése és dóm kialakítása megtévesztően hasonlít a valódi biztonsági kamerákhoz, így hatékony elrettentő hatást biztosít.
Villogó LED és automatikusan szabályozható figyelemfelkeltés
A be- és kikapcsolható villogó piros LED fény nappali és éjszakai használatra is alkalmas, folyamatos figyelmeztetést nyújtva. A LED optikailag szinte észrevétlenné teszi, hogy a kamera nem működik valóban, így maximális hatékonyságot biztosít.
Gyors és egyszerű felszerelés, vezeték nélküli működés
A kamera felszerelése percek alatt elvégezhető az ajándékba kapott felszerelést segítő sablonnal, valamint a csomagban található csavar készlettel. Nincs szükség vezetékre, mivel a tápellátásról 3 db AA (1,5 V) elem gondoskodik, így rugalmasan elhelyezhető a mennyezeten vagy az oldalfalon.
Praktikus és gazdaságos megoldás otthoni vagy üzleti célokra
Az álkamera ideális választás otthoni használatra, de tökéletesen illeszkedik üzletek és munkahelyek biztonsági környezetébe is. A vezetékmentes technológia és a kompakt kialakítás révén könnyedén áthelyezhető igény szerint.
Miért érdemes a HOME HSK150 dóm álkamerát választani?
- Élethű, valósághű megjelenés a hatékony elrettentésért
- Villogó piros LED, be- és kikapcsolható figyelmeztető jelzés
- Vezeték nélküli működés az egyszerű telepítés érdekében
- Percek alatt felszerelhető a mellékelt sablonnal és csavar készlettel
- Elegáns, fehér színű dizájn, amely illeszkedik bármely környezetbe
Biztosítsa környezetének látható védelmét egyszerűen és hatékonyan a HOME HSK150 álkamerával!</t>
        </is>
      </c>
    </row>
    <row r="599">
      <c r="A599" s="3" t="inlineStr">
        <is>
          <t>HSK 110</t>
        </is>
      </c>
      <c r="B599" s="2" t="inlineStr">
        <is>
          <t>Home HSK 110 kültéri álkamera, valódi kameraforma, dönthető-elforgatható rögzítés, piros villogó LED, kültéri/beltéri használat, elemes tápellátás</t>
        </is>
      </c>
      <c r="C599" s="1" t="n">
        <v>4890.0</v>
      </c>
      <c r="D599" s="7" t="n">
        <f>HYPERLINK("https://www.somogyi.hu/product/home-hsk-110-kulteri-alkamera-valodi-kameraforma-dontheto-elforgathato-rogzites-piros-villogo-led-kulteri-belteri-hasznalat-elemes-tapellatas-hsk-110-10279","https://www.somogyi.hu/product/home-hsk-110-kulteri-alkamera-valodi-kameraforma-dontheto-elforgathato-rogzites-piros-villogo-led-kulteri-belteri-hasznalat-elemes-tapellatas-hsk-110-10279")</f>
        <v>0.0</v>
      </c>
      <c r="E599" s="7" t="n">
        <f>HYPERLINK("https://www.somogyi.hu/data/img/product_main_images/small/10279.jpg","https://www.somogyi.hu/data/img/product_main_images/small/10279.jpg")</f>
        <v>0.0</v>
      </c>
      <c r="F599" s="2" t="inlineStr">
        <is>
          <t>5998312788882</t>
        </is>
      </c>
      <c r="G599" s="4" t="inlineStr">
        <is>
          <t>Milyen módon óvhatja meg otthonát vagy vállalkozását anélkül, hogy mélyen a zsebébe kellene nyúlnia? A Home HSK 110 kültéri álkamera a tökéletes megoldás azok számára, akik hatékony, mégis költségkímélő biztonsági megoldást keresnek. Ez az eszköz valódi kamera formájával, valamint folyamatosan villogó piros LED-jével komoly visszatartó erőt képviselhet.
Kültéri és beltéri használatra egyaránt alkalmas, így rugalmasságot biztosít a felhasználóknak attól függően, hogy hol van szükség az elrettentésre. Dönthető és elforgatható rögzítése révén könnyedén állítható, hogy a legkritikusabb területeket “figyelje”. A folyamatosan villogó piros LED még inkább hitelessé teszi, hogy egy valódi megfigyelő rendszerrel van dolgunk, ezzel elriasztva az illetéktelen behatolókat. A tápellátást 2 x 1,5 V (AA) elem biztosítja, melyek nem részei a csomagnak, így érdemes azokat előre beszerezni. A termék méretei 230x170x85mm, ami észrevehető jelenlétet garantál.
Felejtse el a bonyolult és költséges biztonsági rendszereket! A Home HSK 110 kültéri álkamerával hatékony nyugalmat biztosíthat magának, mindezt kedvező áron. Ne kockáztassa meg ingatlanának biztonságát; válassza ezt az egyszerű, de hatásos megoldást még ma!</t>
        </is>
      </c>
    </row>
    <row r="600">
      <c r="A600" s="3" t="inlineStr">
        <is>
          <t>HSK 140</t>
        </is>
      </c>
      <c r="B600" s="2" t="inlineStr">
        <is>
          <t>Home HSK 140 kültéri álkamera lámpával, élethű megjelenés, piros fény, dupla LED lámpa mozgás- és fényérzékelővel, elemes tápellátás</t>
        </is>
      </c>
      <c r="C600" s="1" t="n">
        <v>6090.0</v>
      </c>
      <c r="D600" s="7" t="n">
        <f>HYPERLINK("https://www.somogyi.hu/product/home-hsk-140-kulteri-alkamera-lampaval-elethu-megjelenes-piros-feny-dupla-led-lampa-mozgas-es-fenyerzekelovel-elemes-tapellatas-hsk-140-17854","https://www.somogyi.hu/product/home-hsk-140-kulteri-alkamera-lampaval-elethu-megjelenes-piros-feny-dupla-led-lampa-mozgas-es-fenyerzekelovel-elemes-tapellatas-hsk-140-17854")</f>
        <v>0.0</v>
      </c>
      <c r="E600" s="7" t="n">
        <f>HYPERLINK("https://www.somogyi.hu/data/img/product_main_images/small/17854.jpg","https://www.somogyi.hu/data/img/product_main_images/small/17854.jpg")</f>
        <v>0.0</v>
      </c>
      <c r="F600" s="2" t="inlineStr">
        <is>
          <t>5999084958763</t>
        </is>
      </c>
      <c r="G600" s="4" t="inlineStr">
        <is>
          <t>Hogyan védheti otthonát egyszerűen és hatékonyan egy élethű álkamera segítségével? A Home HSK 140 kültéri álkamera lámpával tökéletes választás mindazok számára, akik modern megjelenésű, funkcionális és költséghatékony megoldást keresnek otthonuk vagy üzletük biztonságának fokozására. Az élethű kameramegjelenés, a folyamatosan villogó piros fény és a mozgásérzékelős dupla LED lámpa hatékonyan elriasztja az illetéktelen behatolókat, miközben praktikus fényforrásként is szolgál sötétben.
Modern megjelenés és élethű dizájn
Az álkamera kialakítása a valódi térfigyelő kamerák megjelenését idézi, így megtévesztően hatékony eszköz a betörők és illetéktelenek távol tartására. A folyamatosan villogó piros LED-fény tovább növeli a hitelességét, és figyelemfelkeltő hatást biztosít éjjel-nappal.
Mozgásérzékelős LED lámpa a praktikus használatért
A beépített fény- és mozgásérzékelő garantálja, hogy a két fehér LED lámpa csak akkor kapcsoljon be, amikor valóban szükséges. A lámpa sötétben, mozgás hatására világít, így megkönnyíti az esti közlekedést és a kulcslyuk megtalálását, miközben elriasztja az illetéktelen személyeket. Ez a funkció különösen hasznos lehet bejáratok, teraszok vagy garázsok környékén.
Sokoldalúan forgatható és könnyen telepíthető
A kamera több irányba állítható, így igényeinek megfelelően pozícionálható a legjobb hatékonyság érdekében. IP44-es vízállósága révén kültéri és beltéri használatra egyaránt alkalmas, legyen szó bejárati ajtóról, udvarról vagy egyéb helyiségről. A telepítést a mellékelt csavarkészlet teszi egyszerűvé, így gyorsan és könnyen beüzemelhető.
Gazdaságos elemes működés
Az álkamera tápellátását 3 darab 1,5 V-os AAA elem biztosítja (nem tartozék), amely hosszú üzemidőt és vezeték nélküli rugalmasságot nyújt. Ez a megoldás nemcsak energiahatékony, hanem lehetővé teszi az eszköz könnyű áthelyezését is.
Kompakt méret és könnyű súly
A ∅70 x 143 mm méretű és 120 grammos álkamera kompakt kialakítása révén diszkréten helyezhető el bármilyen környezetben. Modern megjelenésével jól illeszkedik a kültéri és beltéri terekhez egyaránt.
Mit nyújt Önnek a Home HSK 140 álkamera?
Ez az eszköz nemcsak vizuálisan hatékony megoldást kínál otthona védelmére, hanem praktikus fényforrásként is szolgál. Az élethű dizájn, a mozgásérzékelős LED lámpa és a könnyű telepíthetőség révén tökéletes választás mindazok számára, akik egyszerre szeretnék növelni biztonságérzetüket és komfortjukat.
Válassza a Home HSK 140 kültéri álkamera lámpát, és biztosítsa otthona védelmét egyszerűen és hatékonyan!</t>
        </is>
      </c>
    </row>
    <row r="601">
      <c r="A601" s="3" t="inlineStr">
        <is>
          <t>HSK 130</t>
        </is>
      </c>
      <c r="B601" s="2" t="inlineStr">
        <is>
          <t>Home HSK 130 kültéri napelemes álkamera, élethű megjelenés, IP44 vízálló, dönthető és forgatható, folyamatos villogó piros LED, akkumulátoros tápellátás</t>
        </is>
      </c>
      <c r="C601" s="1" t="n">
        <v>7490.0</v>
      </c>
      <c r="D601" s="7" t="n">
        <f>HYPERLINK("https://www.somogyi.hu/product/home-hsk-130-kulteri-napelemes-alkamera-elethu-megjelenes-ip44-vizallo-dontheto-es-forgathato-folyamatos-villogo-piros-led-akkumulatoros-tapellatas-hsk-130-17586","https://www.somogyi.hu/product/home-hsk-130-kulteri-napelemes-alkamera-elethu-megjelenes-ip44-vizallo-dontheto-es-forgathato-folyamatos-villogo-piros-led-akkumulatoros-tapellatas-hsk-130-17586")</f>
        <v>0.0</v>
      </c>
      <c r="E601" s="7" t="n">
        <f>HYPERLINK("https://www.somogyi.hu/data/img/product_main_images/small/17586.jpg","https://www.somogyi.hu/data/img/product_main_images/small/17586.jpg")</f>
        <v>0.0</v>
      </c>
      <c r="F601" s="2" t="inlineStr">
        <is>
          <t>5999084956080</t>
        </is>
      </c>
      <c r="G601" s="4" t="inlineStr">
        <is>
          <t>Szeretne fokozott biztonságot sugallni anélkül, hogy drága rendszerre lenne szüksége? A Home HSK 130 kültéri napelemes álkamera élethű megjelenésével és folyamatosan villogó piros LED fényével hatékonyan riaszthatja el a potenciális betolakodókat. 
A kamera IP44 vízálló kialakítása biztosítja, hogy kültéren, időjárási körülményektől függetlenül, megbízhatóan használható legyen. A masszív és stabil kivitel ideális választás bármilyen területre, ahol fontos a biztonság illúziójának megteremtése. A kamera dönthető és forgatható mechanikájának köszönhetően könnyedén beállítható a kívánt irányba, akár vízszintes, akár függőleges felületre is felszerelhető. A napelemes töltés előnye, hogy nincs szükség gyakori elemcserére, így a készülék kiválóan alkalmas magasra szerelt helyekre is. 
A piros LED fény folyamatos villogása még hitelesebbé teszi a kamera megjelenését, tovább erősítve a biztonság érzetét. Az üzembe helyezése gyerekjáték: percek alatt felszerelhető a mellékelt csavarkészlet és szerelvények segítségével. A kamera 2 db AA (1,5 V-os) tölthető akkumulátorral működik, amelyeket a beépített napelem tölt (az akkumulátorok külön megvásárolhatók).
Fokozza otthona vagy vállalkozása biztonságát egyszerűen és költséghatékonyan! Rendelje meg a Home HSK 130 napelemes álkamerát, és élvezze a nyugalmat, amit az élethű megjelenés és a villogó LED biztosít!</t>
        </is>
      </c>
    </row>
    <row r="602">
      <c r="A602" s="6" t="inlineStr">
        <is>
          <t xml:space="preserve">   Lakáskiegészítő / Video-kaputelefon</t>
        </is>
      </c>
      <c r="B602" s="6" t="inlineStr">
        <is>
          <t/>
        </is>
      </c>
      <c r="C602" s="6" t="inlineStr">
        <is>
          <t/>
        </is>
      </c>
      <c r="D602" s="6" t="inlineStr">
        <is>
          <t/>
        </is>
      </c>
      <c r="E602" s="6" t="inlineStr">
        <is>
          <t/>
        </is>
      </c>
      <c r="F602" s="6" t="inlineStr">
        <is>
          <t/>
        </is>
      </c>
      <c r="G602" s="6" t="inlineStr">
        <is>
          <t/>
        </is>
      </c>
    </row>
    <row r="603">
      <c r="A603" s="3" t="inlineStr">
        <is>
          <t>DPV WIFI 100</t>
        </is>
      </c>
      <c r="B603" s="2" t="inlineStr">
        <is>
          <t>Home DPV WIFI 100 5 az 1-ben smart videó kaputelefon szett, vezeték vélküli, Tuya platform, megfigyelő kamera, riasztó funkció, IP54 védettség</t>
        </is>
      </c>
      <c r="C603" s="1" t="n">
        <v>45290.0</v>
      </c>
      <c r="D603" s="7" t="n">
        <f>HYPERLINK("https://www.somogyi.hu/product/home-dpv-wifi-100-5-az-1-ben-smart-video-kaputelefon-szett-vezetek-velkuli-tuya-platform-megfigyelo-kamera-riaszto-funkcio-ip54-vedettseg-dpv-wifi-100-17830","https://www.somogyi.hu/product/home-dpv-wifi-100-5-az-1-ben-smart-video-kaputelefon-szett-vezetek-velkuli-tuya-platform-megfigyelo-kamera-riaszto-funkcio-ip54-vedettseg-dpv-wifi-100-17830")</f>
        <v>0.0</v>
      </c>
      <c r="E603" s="7" t="n">
        <f>HYPERLINK("https://www.somogyi.hu/data/img/product_main_images/small/17830.jpg","https://www.somogyi.hu/data/img/product_main_images/small/17830.jpg")</f>
        <v>0.0</v>
      </c>
      <c r="F603" s="2" t="inlineStr">
        <is>
          <t>5999084958527</t>
        </is>
      </c>
      <c r="G603" s="4" t="inlineStr">
        <is>
          <t>Kíváncsi rá, hogyan teheti otthonát biztonságosabbá, miközben kényelmesen követheti vendégei érkezését, bárhol is tartózkodik? A Home DPV WIFI 100 5 az 1-ben smart videó kaputelefon szett modern megoldást kínál mindazok számára, akik többre vágynak egy egyszerű kaputelefonnál. 
Ez az eszköz a következő funkciókkal szolgál: videó kaputelefon, csendes riasztó, megfigyelő kamera, vezeték nélküli csengő és mozgásérzékelős éjjeli lámpa – mindezt egyetlen készülékben. A Home DPV WIFI 100 szett teljesen vezeték nélküli, így nincs szükség internet- és tápellátási kábelezésre; a töltések közötti üzemidő akár több hónapig is tarthat. Kapcsolódjon otthonához bárhonnan a világon, és kövesse látogatói érkezését valós időben, az interneten keresztül. Az okos csengőgomb közeledésre világít, ami barátságos és modern fogadtatást biztosít.
Változtatható érzékenységű riasztó módja nemcsak az illetéktelen behatolókat jelzi, hanem automatikusan fotót is készít, és üzenetet küld, így Ön mindig az események előtt járhat. A beépített kamera széles látószöge ideális a nagyobb területek megfigyelésére, akár nappal, akár éjszaka. A rejtett infravörös LED-ek automatikus éjszakai módra kapcsolják a készüléket, amely így tiszta fekete-fehér képet biztosít sötétben is. Válasszon SD vagy HD 1080p felbontást, és készítsen manuálisan fényképet vagy videót látogatóiról, amelyet microSD kártyára menthet (akár 128GB bővíthetőség).
A készülék értesíti a merülő akkumulátorról és az esetleges internetkapcsolat megszakadásáról, így mindig felkészült maradhat. 35 méter hatótávolságú nyílt térben, és fényjelzéssel, beállítható dallammal értesíti Önt az érkezőkről. Mozgásérzékelős éjjeli lámpa funkciója további biztonságot és kényelmet nyújt. A TUYA platformon keresztül Android és iOS rendszerekkel is használható, és kompatibilis Google Home vagy Amazon Echo hangasszisztensekkel, így hangvezérléssel is irányíthatja. IP54 szintű por- és vízvédelem, esővédő tartókeret és szerelvények gondoskodnak arról, hogy a készülék hosszú távon, kültéri használatra is alkalmas legyen.
Élvezze otthona biztonságát, bármerre is jár! Ne hagyja ki ezt a lehetőséget, válassza a Home DPV WIFI 100-at, és legyen mindig egy lépéssel előrébb a biztonság terén.</t>
        </is>
      </c>
    </row>
    <row r="604">
      <c r="A604" s="3" t="inlineStr">
        <is>
          <t>DPV260</t>
        </is>
      </c>
      <c r="B604" s="2" t="inlineStr">
        <is>
          <t>Home DPV260 7 colos videó-kaputelefon szett, éjszakai kameramóddal, 30 féle csengetési dallammal, kitekintő funkcióval, érintőgombokkal, bővíthető</t>
        </is>
      </c>
      <c r="C604" s="1" t="n">
        <v>46790.0</v>
      </c>
      <c r="D604" s="7" t="n">
        <f>HYPERLINK("https://www.somogyi.hu/product/home-dpv260-7-colos-video-kaputelefon-szett-ejszakai-kameramoddal-30-fele-csengetesi-dallammal-kitekinto-funkcioval-erintogombokkal-bovitheto-dpv260-18922","https://www.somogyi.hu/product/home-dpv260-7-colos-video-kaputelefon-szett-ejszakai-kameramoddal-30-fele-csengetesi-dallammal-kitekinto-funkcioval-erintogombokkal-bovitheto-dpv260-18922")</f>
        <v>0.0</v>
      </c>
      <c r="E604" s="7" t="n">
        <f>HYPERLINK("https://www.somogyi.hu/data/img/product_main_images/small/18922.jpg","https://www.somogyi.hu/data/img/product_main_images/small/18922.jpg")</f>
        <v>0.0</v>
      </c>
      <c r="F604" s="2" t="inlineStr">
        <is>
          <t>5999084969165</t>
        </is>
      </c>
      <c r="G604" s="4" t="inlineStr">
        <is>
          <t>Hogyan növelheti otthona biztonságát és kényelmét egy modern videó-kaputelefon segítségével? 
A Home DPV260 videó-kaputelefon szett innovatív technológiával és felhasználóbarát funkciókkal ellátott eszköz, amely nemcsak biztonságot nyújt, hanem kényelmet is biztosít a mindennapokban. A 7 colos színes LCD monitor, az éjszakai kameramód, valamint a 30 különböző csengetési dallam révén ez a kaputelefon modern és elegáns megoldást kínál otthonához.
7 colos LCD monitor és érintőgombos vezérlés 
A készülék nagy, 7 colos (17,8 cm) színes LCD kijelzője kiváló képet nyújt, akár nappal, akár éjszaka. Az érintőgombok folyamatosan világítanak, így sötétben is könnyen kezelhetők. Az egyszerű, telefonkagyló nélküli kialakítás kényelmes használatot biztosít, miközben a falon kívül szerelhető kültéri egység esővédő kerettel garantálja a hosszú élettartamot és az időjárásállóságot.
Éjszakai kameramód és kitekintő funkció 
Az infravörös világítással ellátott éjszakai kameramód lehetővé teszi, hogy gyenge fényviszonyok között is tisztán láthassa a látogatókat. A kitekintő funkció segítségével akár 60 másodpercig folyamatosan megfigyelheti a kültéri területet, még csengetés nélkül is. Ez a funkció különösen hasznos, ha előre szeretné tudni, ki érkezett vagy ha zajt hall kintről.
Sokoldalú hang- és funkcióbeállítások 
A készülék 30 féle csengetési dallammal és állítható hangerővel igazodik az Ön igényeihez. A „ne zavarjanak” mód egyetlen érintéssel némítja a készüléket, hogy zavartalan pihenést biztosítson. Az állítható mikrofonérzékenység és beszédhangerő további kényelmet nyújt, így mindig tisztán és érthetően kommunikálhat látogatóival.
Bővíthetőség és extra funkciók 
A Home DPV260 szett bővíthető további beltéri vagy kültéri egységekkel, akár 2 kültéri és 4 beltéri egység is csatlakoztatható. A rendszer kompatibilis további megfigyelő kamerákkal, és támogatja az elektromos zárnyitást is (opcionális). A látogatót LED fény tájékoztatja a zárnyitás időtartamáról, amely alapértelmezetten 3 másodperc.
Egyszerű telepítés és tartozékok 
A szett szerszám nélküli csatlakoztatást kínál, amely megkönnyíti az üzembe helyezést. A tartozékok között megtalálható az esővédő keret, csatlakozókábel (kb. 9 m), fali fém tartókeret, hálózati adapter és szerelvények, amelyek teljes körű megoldást nyújtanak az egyszerű telepítéshez.
Miért válassza a Home DPV260 videó-kaputelefont? 
– Modern és elegáns megoldás a biztonság és kényelem növelésére. 
– Kiváló képminőség nappal és éjszaka egyaránt. 
– Széles körű funkciók, beleértve a kitekintő és „ne zavarjanak” módot.
 – Egyszerű telepítés, bővíthetőség további egységekkel. 
– Felhasználóbarát kialakítás érintőgombokkal és intuitív menüvel.
Tegye otthonát biztonságosabbá és kényelmesebbé a Home DPV260 videó-kaputelefon szettel! Rendelje meg most, és élvezze a modern technológia nyújtotta előnyöket!</t>
        </is>
      </c>
    </row>
    <row r="605">
      <c r="A605" s="3" t="inlineStr">
        <is>
          <t>DPV 270K</t>
        </is>
      </c>
      <c r="B605" s="2" t="inlineStr">
        <is>
          <t>Home DPV 270K kültéri biztonsági kamera a Home DPV 270 szett bővítéséhez, IP44 védettségű, éjszakai kameramód, fotó és videó felvételi funkciókkal</t>
        </is>
      </c>
      <c r="C605" s="1" t="n">
        <v>19190.0</v>
      </c>
      <c r="D605" s="7" t="n">
        <f>HYPERLINK("https://www.somogyi.hu/product/home-dpv-270k-kulteri-biztonsagi-kamera-a-home-dpv-270-szett-bovitesehez-ip44-vedettsegu-ejszakai-kameramod-foto-es-video-felveteli-funkciokkal-dpv-270k-17627","https://www.somogyi.hu/product/home-dpv-270k-kulteri-biztonsagi-kamera-a-home-dpv-270-szett-bovitesehez-ip44-vedettsegu-ejszakai-kameramod-foto-es-video-felveteli-funkciokkal-dpv-270k-17627")</f>
        <v>0.0</v>
      </c>
      <c r="E605" s="7" t="n">
        <f>HYPERLINK("https://www.somogyi.hu/data/img/product_main_images/small/17627.jpg","https://www.somogyi.hu/data/img/product_main_images/small/17627.jpg")</f>
        <v>0.0</v>
      </c>
      <c r="F605" s="2" t="inlineStr">
        <is>
          <t>5999084956493</t>
        </is>
      </c>
      <c r="G605" s="4" t="inlineStr">
        <is>
          <t>Hogyan teheti biztonságosabbá otthonát egy professzionális kültéri kamerával, amely fényképet és videót is készít a látogatókról? A Home DPV 270K kültéri kamera a modern biztonság csúcsát képviseli. Ez az IP44 védettségű, strapabíró eszköz nemcsak éjszakai kameramóddal rendelkezik, hanem képes automatikus vagy manuális fénykép- és videofelvételek készítésére is, így minden helyzetben megbízható társ a védelemben.
Bővíthetőség és kompatibilitás
A Home DPV 270K kamera a DPV 27 és DPV 270 szettek bővítésére lett tervezve, lehetővé téve, hogy akár 2 kültéri kamerát és 3 beltéri monitort csatlakoztasson rendszeréhez. Ezáltal teljes körű biztonsági hálózatot építhet ki otthonában vagy irodájában, a maximális kényelem és védelem érdekében.
Éjszakai kameramód rejtett LED-ekkel
A kamera rejtett infravörös LED-ekkel van felszerelve, amelyek lehetővé teszik az éjjellátást anélkül, hogy feltűnőek lennének. Ez a funkció biztosítja, hogy a sötétben is tiszta képet kapjon a látogatókról, így éjszaka is ugyanolyan hatékonyan működik, mint nappal.
Fénykép- és videófelvételek a látogatók dokumentálásához
A készülék minden becsengetéskor képes automatikusan fényképet vagy videót készíteni a látogatókról. Emellett manuális felvételi lehetőség is rendelkezésre áll, ha Ön szeretné irányítani a dokumentálást. Ez különösen hasznos lehet, ha nem tartózkodik otthon, de szeretné visszanézni, ki járt az ajtó előtt.
Kiváló minőségű anyagok és praktikus kialakítás
A kamera alumínium előlapja és világító csengőgombja modern megjelenést és könnyű kezelhetőséget biztosít. A falon kívüli szerelhetőség és az IP44-es vízállóság garantálja, hogy az eszköz hosszú távon is ellenáll az időjárási körülményeknek.
Rugalmas vezérlés és kiegészítők
A kamera rendelkezik zárnyitási funkcióval, amely külső elektromos zárhoz csatlakoztatva egyetlen gombnyomással lehetővé teszi az ajtó kinyitását. A szabályozható mikrofonérzékenység és beszédhangerő garantálja a tiszta kommunikációt. A csomagban található tartozékok, mint az esővédő keret, 10 méteres csatlakozókábel és szerelvények, megkönnyítik a telepítést.
Egyszerű tápellátás és vezetékes kapcsolat
A kamera a DPV 270 monitorjából kapja a 12 V-os tápellátást, így nincs szükség külön energiaforrásra. A négyeres vezetékezés egyszerű és megbízható csatlakozást biztosít a beltéri egységhez.
Mit nyújt Önnek a Home DPV 270K kültéri biztonsági kamera?
Ez a kamera nemcsak a maximális biztonságot garantálja, hanem modern technológiájával és praktikus funkcióival kényelmesebbé is teszi mindennapjait. Az éjszakai mód, a fénykép- és videófelvételi lehetőség, valamint a zárnyitás funkció mind azt a célt szolgálják, hogy Ön mindig kontroll alatt tartsa otthona biztonságát.
Tegye otthonát biztonságosabbá a Home DPV 270K kültéri biztonsági kamerával, amely modern technológiával és megbízhatósággal szolgálja ki minden igényét!</t>
        </is>
      </c>
    </row>
    <row r="606">
      <c r="A606" s="3" t="inlineStr">
        <is>
          <t>DPV SMART</t>
        </is>
      </c>
      <c r="B606" s="2" t="inlineStr">
        <is>
          <t>Home DPV SMART video kaputelefon, 7" érintőképernyő, IP65, AHD kamera, mozgásérzékelő, RFID, bővíthető, InterCom, Smart Life, Tuya Smart</t>
        </is>
      </c>
      <c r="C606" s="1" t="n">
        <v>83890.0</v>
      </c>
      <c r="D606" s="7" t="n">
        <f>HYPERLINK("https://www.somogyi.hu/product/home-dpv-smart-video-kaputelefon-7-erintokepernyo-ip65-ahd-kamera-mozgaserzekelo-rfid-bovitheto-intercom-smart-life-tuya-smart-dpv-smart-18308","https://www.somogyi.hu/product/home-dpv-smart-video-kaputelefon-7-erintokepernyo-ip65-ahd-kamera-mozgaserzekelo-rfid-bovitheto-intercom-smart-life-tuya-smart-dpv-smart-18308")</f>
        <v>0.0</v>
      </c>
      <c r="E606" s="7" t="n">
        <f>HYPERLINK("https://www.somogyi.hu/data/img/product_main_images/small/18308.jpg","https://www.somogyi.hu/data/img/product_main_images/small/18308.jpg")</f>
        <v>0.0</v>
      </c>
      <c r="F606" s="2" t="inlineStr">
        <is>
          <t>5999084963309</t>
        </is>
      </c>
      <c r="G606" s="4" t="inlineStr">
        <is>
          <t>Ön is egy olyan eszközt keres, amely egyszerre szolgál biztonságos kaputelefonként, riasztórendszerként, és lehetővé teszi az otthona távoli megfigyelését is? A Home DPV SMART video kaputelefon rendszerével nem csak a látogatóit fogadhatja magabiztosan, de otthona biztonságát is növelheti.
A 7 hüvelykes, extra lapos monitor érintőképernyővel és a masszív, alumínium kültéri kamerás egység (IP65) biztosítja a kiemelkedő képminőséget és tartósságot. A rendszer továbbfejlesztett AHD kamerával rendelkezik, mely jobb képminőséget nyújt, valamint mozgásérzékelési funkcióval, ami lehetővé teszi, hogy a látogatók érkezésekor értesítést kapjon.
A rendszer bővíthető további kamerás kültéri egységekkel, monitorokkal, megfigyelő kamerákkal, valamint nyitás- vagy mozgásérzékelőkkel, így teljesen testreszabható az Ön igényeihez. Az RFID közelítő kulcsoknak köszönhetően pedig gyorsan és kényelmesen nyithatja ki az ajtót. Az InterCom funkcióval a beltéri egységek közötti kommunikáció is megoldott, így a házon belüli kommunikáció sem jelent problémát.
A DPV SMART video kaputelefon mozgás érzékelésekor képes üzenetet küldeni, valamint automatikus és manuális fotó-, videókészítésre is képes, így mindig nyomon követheti, mi történik otthonában. Az internetes távoli elérés révén okostelefonról is irányíthatja a rendszert, akár távolról is, a Smart Life vagy a Tuya Smart applikációk segítségével, melyek Android és iOS mobiltelefonokkal is kompatibilisek.
Ragaszkodik otthona maximális biztonságához? Válassza a Home DPV SMART video kaputelefon rendszert, amely modern technológiával és felhasználóbarát funkciókkal védi otthonát és szeretteit.</t>
        </is>
      </c>
    </row>
    <row r="607">
      <c r="A607" s="3" t="inlineStr">
        <is>
          <t>DPV 270RFID</t>
        </is>
      </c>
      <c r="B607" s="2" t="inlineStr">
        <is>
          <t>Home DPV 270RFID interaktív közelítő kulcsszett DPV 270 videó-kaputelefonhoz, 7 darabos szett, 125 kHz RFID, egyszerű párosítás és programozás</t>
        </is>
      </c>
      <c r="C607" s="1" t="n">
        <v>3690.0</v>
      </c>
      <c r="D607" s="7" t="n">
        <f>HYPERLINK("https://www.somogyi.hu/product/home-dpv-270rfid-interaktiv-kozelito-kulcsszett-dpv-270-video-kaputelefonhoz-7-darabos-szett-125-khz-rfid-egyszeru-parositas-es-programozas-dpv-270rfid-17673","https://www.somogyi.hu/product/home-dpv-270rfid-interaktiv-kozelito-kulcsszett-dpv-270-video-kaputelefonhoz-7-darabos-szett-125-khz-rfid-egyszeru-parositas-es-programozas-dpv-270rfid-17673")</f>
        <v>0.0</v>
      </c>
      <c r="E607" s="7" t="n">
        <f>HYPERLINK("https://www.somogyi.hu/data/img/product_main_images/small/17673.jpg","https://www.somogyi.hu/data/img/product_main_images/small/17673.jpg")</f>
        <v>0.0</v>
      </c>
      <c r="F607" s="2" t="inlineStr">
        <is>
          <t>5999084956950</t>
        </is>
      </c>
      <c r="G607" s="4" t="inlineStr">
        <is>
          <t>Hogyan teheti biztonságosabbá és egyszerűbbé otthona vagy irodája hozzáférését egyetlen kulcsszettel? A Home DPV 270RFID interaktív közelítő kulcsszett a DPV 270 videó-kaputelefonhoz lett tervezve, hogy kényelmes és biztonságos hozzáférést biztosítson. Az RFID technológia segítségével egyszerű párosítást és programozást kínál, miközben akár 24 kulcs kezelésére is alkalmas.
Kényelmes és megbízható RFID technológia
A szett 125 kHz-es RFID rendszerrel működik, amely gyors és érintésmentes hozzáférést biztosít. Az eszköz maximum 10–30 mm-es távolságból érzékeli a kulcsot, így rendkívül kényelmes használatot tesz lehetővé. Ez a megoldás nemcsak korszerű, hanem magas szintű biztonságot is nyújt.
Teljeskörű funkciók a mindennapi használathoz
A csomagban található 5 db kék felhasználói (USER) kulcs az ajtók egyszerű nyitására szolgál, míg a piros (CLEAN) kulcs lehetővé teszi az összes regisztrált kulcs törlését a rendszerből egyetlen mozdulattal. A sárga (ADD) kulcs segítségével könnyedén adhat hozzá új kulcsokat, biztosítva a rugalmas kezelhetőséget és az igényekhez való alkalmazkodást.
Bővíthetőség és rugalmasság
A rendszer maximum 24 RFID kulcs kezelésére képes, így tökéletes választás nemcsak családi otthonok, hanem irodák, társasházak vagy üzleti helyiségek számára is. Az elveszett vagy megsérült kulcsok könnyen pótolhatók, biztosítva, hogy a hozzáférés mindig zavartalan maradjon.
Egyszerű párosítás és használat
Az RFID kulcsok párosítása és programozása rendkívül egyszerű, így gyorsan és zökkenőmentesen integrálható a meglévő rendszerébe. Az eszköz kompatibilis a DPV 270 videó-kaputelefonnal, amely modern és megbízható megoldást kínál a hozzáférési pontok védelmére.
Praktikus és tartós kialakítás
A kulcsok strapabíró anyagból készültek, hogy ellenálljanak a mindennapi használatból adódó kopásnak és sérüléseknek. Kompakt méretüknek köszönhetően kényelmesen hordozhatók, akár kulcstartóra is helyezhetők.
Mit nyújt Önnek a Home DPV 270RFID kulcsszett?
Ez a 7 darabos szett egyszerre kínál kényelmes hozzáférést, könnyű kezelhetőséget és rugalmas bővíthetőséget. Ideális választás azok számára, akik biztonságos, ugyanakkor modern megoldást keresnek otthonuk vagy irodájuk beléptetési rendszeréhez.
Tegye még biztonságosabbá és kényelmesebbé otthonát a Home DPV 270RFID kulcsszettel, amely a korszerű technológiát ötvözi a mindennapi praktikummal!</t>
        </is>
      </c>
    </row>
    <row r="608">
      <c r="A608" s="6" t="inlineStr">
        <is>
          <t xml:space="preserve">   Lakáskiegészítő / Audio kaputelefon</t>
        </is>
      </c>
      <c r="B608" s="6" t="inlineStr">
        <is>
          <t/>
        </is>
      </c>
      <c r="C608" s="6" t="inlineStr">
        <is>
          <t/>
        </is>
      </c>
      <c r="D608" s="6" t="inlineStr">
        <is>
          <t/>
        </is>
      </c>
      <c r="E608" s="6" t="inlineStr">
        <is>
          <t/>
        </is>
      </c>
      <c r="F608" s="6" t="inlineStr">
        <is>
          <t/>
        </is>
      </c>
      <c r="G608" s="6" t="inlineStr">
        <is>
          <t/>
        </is>
      </c>
    </row>
    <row r="609">
      <c r="A609" s="3" t="inlineStr">
        <is>
          <t>DP 02</t>
        </is>
      </c>
      <c r="B609" s="2" t="inlineStr">
        <is>
          <t>Home DP 02 vezetékes kaputelefon szett, kétvezetékes rendszer, kiváló hangátvitel, falba süllyeszthető fém külső egység, kapunyitó elektronika</t>
        </is>
      </c>
      <c r="C609" s="1" t="n">
        <v>14390.0</v>
      </c>
      <c r="D609" s="7" t="n">
        <f>HYPERLINK("https://www.somogyi.hu/product/home-dp-02-vezetekes-kaputelefon-szett-ketvezetekes-rendszer-kivalo-hangatvitel-falba-sullyesztheto-fem-kulso-egyseg-kapunyito-elektronika-dp-02-6479","https://www.somogyi.hu/product/home-dp-02-vezetekes-kaputelefon-szett-ketvezetekes-rendszer-kivalo-hangatvitel-falba-sullyesztheto-fem-kulso-egyseg-kapunyito-elektronika-dp-02-6479")</f>
        <v>0.0</v>
      </c>
      <c r="E609" s="7" t="n">
        <f>HYPERLINK("https://www.somogyi.hu/data/img/product_main_images/small/06479.jpg","https://www.somogyi.hu/data/img/product_main_images/small/06479.jpg")</f>
        <v>0.0</v>
      </c>
      <c r="F609" s="2" t="inlineStr">
        <is>
          <t>5998312755259</t>
        </is>
      </c>
      <c r="G609" s="4" t="inlineStr">
        <is>
          <t>Hogyan növelheti otthona biztonságát és kényelmét egy modern, süllyeszthető kaputelefonnal? A Home DP 02 vezetékes kaputelefon szett egyedülálló megoldást kínál az otthoni kommunikáció és biztonság javítására. A kétvezetékes rendszer könnyű telepíthetőséggel párosul, miközben a falba süllyeszthető fém külső egység és a LED-es névtábla elegáns megjelenést biztosít.
Kiváló hangátvitel a zavartalan kommunikációért
Ez a kaputelefon digitálisan kódolt technológiát alkalmaz, amely kristálytiszta hangátvitelt tesz lehetővé a kültéri és beltéri egység között. A 70 dB(A) hangerő garantálja, hogy a beszélgetés mindig jól hallható legyen, még zajos környezetben is. Ideális választás családi házakhoz, társasházakhoz vagy kisebb üzleti ingatlanokhoz.
Modern kialakítás és prémium anyaghasználat
A külső egység fém burkolata nemcsak esztétikus, hanem tartós is, ellenállva az időjárási viszontagságoknak. A süllyeszthető kivitel diszkréten illeszkedik a homlokzatba, miközben a piros LED háttérvilágítással ellátott névtábla modern megjelenést kölcsönöz az eszköznek.
Kapunyitó funkció extra tápellátás nélkül
Az integrált kapunyitó elektronika lehetővé teszi elektromos zárak vezérlését, külön tápellátás nélkül, legfeljebb 12 V DC / 200 mA kapacitásig. Nagyobb áramfelvétel vagy nagyobb távolság esetén külső transzformátorral bővíthető a rendszer, ami rugalmasságot biztosít a telepítés során.
Könnyű telepítés és sokoldalú elhelyezés
A kétvezetékes rendszer egyszerűen és gyorsan telepíthető, a kábelek csavaros rögzítéssel kapcsolhatók az egységekhez. A belső egység falra szerelhető vagy fektethető, így könnyen alkalmazkodik az otthona adottságaihoz.
Kompakt méretek és energiatakarékos működés
A beltéri egység 87 x 227 x 45 mm, míg a kültéri egység 200 x 116 x 55 mm méretű, ami kompakt és esztétikus megjelenést biztosít. A rendszer tápellátását a 230 V~/50 Hz hálózati áram biztosítja, ami gazdaságos és megbízható működést tesz lehetővé.
Miért válassza a Home DP 02 kaputelefon szettet?
Ez a kaputelefon szett nemcsak praktikus, hanem elegáns megoldást is nyújt a mindennapi élet kényelmesebbé tételéhez. A tiszta hangátvitel, a strapabíró fém burkolat és az integrált kapunyitó funkció révén ideális választás mindenki számára, aki egyszerűen kezelhető és megbízható rendszert keres.
Tegye biztonságosabbá és kényelmesebbé otthonát a Home DP 02 kaputelefon szett segítségével, amely az esztétikumot és a funkcionalitást ötvözi egyetlen eszközben!</t>
        </is>
      </c>
    </row>
    <row r="610">
      <c r="A610" s="3" t="inlineStr">
        <is>
          <t>DP 01</t>
        </is>
      </c>
      <c r="B610" s="2" t="inlineStr">
        <is>
          <t>Home DP 01 vezetékes kaputelefon szett, kétvezetékes rendszer, kiváló hangátvitel, integrált kapunyitó elektronika, könnyű üzembe helyezés</t>
        </is>
      </c>
      <c r="C610" s="1" t="n">
        <v>11490.0</v>
      </c>
      <c r="D610" s="7" t="n">
        <f>HYPERLINK("https://www.somogyi.hu/product/home-dp-01-vezetekes-kaputelefon-szett-ketvezetekes-rendszer-kivalo-hangatvitel-integralt-kapunyito-elektronika-konnyu-uzembe-helyezes-dp-01-6478","https://www.somogyi.hu/product/home-dp-01-vezetekes-kaputelefon-szett-ketvezetekes-rendszer-kivalo-hangatvitel-integralt-kapunyito-elektronika-konnyu-uzembe-helyezes-dp-01-6478")</f>
        <v>0.0</v>
      </c>
      <c r="E610" s="7" t="n">
        <f>HYPERLINK("https://www.somogyi.hu/data/img/product_main_images/small/06478.jpg","https://www.somogyi.hu/data/img/product_main_images/small/06478.jpg")</f>
        <v>0.0</v>
      </c>
      <c r="F610" s="2" t="inlineStr">
        <is>
          <t>5998312755242</t>
        </is>
      </c>
      <c r="G610" s="4" t="inlineStr">
        <is>
          <t>Hogyan érheti el a kényelmes és biztonságos kapunyitást egy egyszerű, mégis megbízható kaputelefon segítségével? A Home DP 01 vezetékes kaputelefon szett modern és praktikus megoldást kínál otthona vagy irodája számára, kiváló minőségű hangátvitellel és integrált kapunyitó elektronikával. A kétvezetékes rendszer lehetővé teszi a gyors és egyszerű telepítést, miközben a rendszer megbízható működést biztosít.
Kiváló hangátvitel a zökkenőmentes kommunikációért
A kaputelefon digitálisan kódolt technológiája biztosítja a tiszta és érthető hangátvitelt a kültéri és beltéri egység között. A 70 dB(A) hangerővel működő készülék hatékony kommunikációt tesz lehetővé, így mindig pontosan értheti, ki áll az ajtó előtt.
Egyszerű telepítés és praktikus használat
A Home DP 01 szett kétvezetékes kialakításának köszönhetően gyorsan és egyszerűen üzembe helyezhető. A kábelek csavarral rögzíthetők, így nincs szükség bonyolult szerelési eljárásra. A belső egység falra szerelhető vagy fektethető is, így maximálisan alkalmazkodik az otthona adottságaihoz.
Integrált kapunyitó elektronika
A készülék kapunyitó funkciója külön tápellátás nélkül is működik, 12 V DC / 300 mA zárkimenettel. Ez ideális kisebb áramfelvételű elektromos zárakhoz, miközben nagyobb áramigényű zár esetén külső transzformátorral bővíthető. A kapunyitási funkció egyszerűsíti a látogatók beléptetését, növelve ezzel a komfortérzetet.
Kompakt méret és esztétikus kialakítás
A beltéri egység 87 x 227 x 45 mm, míg a kültéri egység 73 x 100 x 36 mm méretű, így mindkettő diszkréten illeszkedik a különböző otthoni vagy irodai környezetekbe. A falon kívüli felszerelésű kültéri egység strapabíró kialakítású, amely hosszú távú használatot garantál.
Minden szükséges kiegészítő egy rendszerben
A szett minden alapvető funkcióval rendelkezik, hogy otthona biztonságát és kényelmét növelje. Bár névtábla vagy intercom funkcióval nem rendelkezik, a kompakt és hatékony kialakítás tökéletes választás, ha egyszerű és megbízható kaputelefont keres.
Miért érdemes a Home DP 01 vezetékes kaputelefont választania?
Ez a rendszer egyszerű, mégis hatékony megoldást kínál az otthoni biztonság növelésére. A könnyű telepíthetőség, az integrált kapunyitó funkció és a tiszta hangátvitel mind garantálják, hogy a Home DP 01 a hétköznapok praktikus és megbízható kiegészítőjévé váljon.
Tegye biztonságosabbá otthonát a Home DP 01 kaputelefon szett segítségével, amely modern technológiát kínál megfizethető áron!</t>
        </is>
      </c>
    </row>
    <row r="611">
      <c r="A611" s="3" t="inlineStr">
        <is>
          <t>DP 22</t>
        </is>
      </c>
      <c r="B611" s="2" t="inlineStr">
        <is>
          <t>Home DP 22 vezetékes kaputelefon szett, falon kívüli alumínium kültéri egység, kétvezetékes bekötés, zárnyitási lehetőség, IP23 vízállóság, 230V</t>
        </is>
      </c>
      <c r="C611" s="1" t="n">
        <v>15990.0</v>
      </c>
      <c r="D611" s="7" t="n">
        <f>HYPERLINK("https://www.somogyi.hu/product/home-dp-22-vezetekes-kaputelefon-szett-falon-kivuli-aluminium-kulteri-egyseg-ketvezetekes-bekotes-zarnyitasi-lehetoseg-ip23-vizallosag-230v-dp-22-18047","https://www.somogyi.hu/product/home-dp-22-vezetekes-kaputelefon-szett-falon-kivuli-aluminium-kulteri-egyseg-ketvezetekes-bekotes-zarnyitasi-lehetoseg-ip23-vizallosag-230v-dp-22-18047")</f>
        <v>0.0</v>
      </c>
      <c r="E611" s="7" t="n">
        <f>HYPERLINK("https://www.somogyi.hu/data/img/product_main_images/small/18047.jpg","https://www.somogyi.hu/data/img/product_main_images/small/18047.jpg")</f>
        <v>0.0</v>
      </c>
      <c r="F611" s="2" t="inlineStr">
        <is>
          <t>5999084960698</t>
        </is>
      </c>
      <c r="G611" s="4" t="inlineStr">
        <is>
          <t>Egy megbízható kaputelefonszettet keres, amely könnyen telepíthető és esztétikus megjelenésű is egyben? A Home DP 22 vezetékes kaputelefon szett a modern technológiát és a letisztult dizájnt ötvözi, hogy otthona biztonságosabb és vendébarát legyen.
A falon kívül szerelhető kültéri egység alumínium konstrukciója garantálja a tartósságot és az időjárásállóságot. LED megvilágítású névtáblája pedig eleganciát kölcsönöz bejárathoz. A bútorra helyezhető vagy falra szerelhető beltéri készülékkel egyszerűen szabályozhatja a jelzés erősségét, melynek köszönhetően mindig hallani fogja, ha vendég érkezik. A készülék zárnyitási funkcióval is bővíthető, így még kényelmesebbé teheti a vendégek bejuttatását.
Az egyszerű kétvezetékes bekötésnek köszönhetően a szett ideális választás lehet a meglévő, elavult csengők cseréjére is. Működési távolsága akár 50 méter is lehet, biztosítva ezzel a nagyobb ingatlanok lefedettségét is. A kapunyitó elektronika akár külső tápellátás nélkül is működik, így nincs szükség további kábelezésre.
Válassza a Home DP 22 kaputelefonszettet, amely nem csak a kommunikációt könnyíti meg, hanem otthona értékét is növeli!</t>
        </is>
      </c>
    </row>
    <row r="612">
      <c r="A612" s="3" t="inlineStr">
        <is>
          <t>DP 012</t>
        </is>
      </c>
      <c r="B612" s="2" t="inlineStr">
        <is>
          <t>Home DP 012 kétlakásos vezetékes kaputelefon szett, kétvezetékes rendszer, kiváló hangátvitel, kapunyitó elektronika, falba süllyeszthető külső egység</t>
        </is>
      </c>
      <c r="C612" s="1" t="n">
        <v>23790.0</v>
      </c>
      <c r="D612" s="7" t="n">
        <f>HYPERLINK("https://www.somogyi.hu/product/home-dp-012-ketlakasos-vezetekes-kaputelefon-szett-ketvezetekes-rendszer-kivalo-hangatvitel-kapunyito-elektronika-falba-sullyesztheto-kulso-egyseg-dp-012-6480","https://www.somogyi.hu/product/home-dp-012-ketlakasos-vezetekes-kaputelefon-szett-ketvezetekes-rendszer-kivalo-hangatvitel-kapunyito-elektronika-falba-sullyesztheto-kulso-egyseg-dp-012-6480")</f>
        <v>0.0</v>
      </c>
      <c r="E612" s="7" t="n">
        <f>HYPERLINK("https://www.somogyi.hu/data/img/product_main_images/small/06480.jpg","https://www.somogyi.hu/data/img/product_main_images/small/06480.jpg")</f>
        <v>0.0</v>
      </c>
      <c r="F612" s="2" t="inlineStr">
        <is>
          <t>5998312755266</t>
        </is>
      </c>
      <c r="G612" s="4" t="inlineStr">
        <is>
          <t>Hogyan oldhatná meg hogy látogatói mindig elérjék Önt, amikor otthonában tartózkodik? A Home DP 012 kétlakásos vezetékes kaputelefon szett nem csak a biztonságát és elérhetőségét garantálja, hanem elegáns megjelenéssel is feldobja környezetét. 
A szett tartalmaz két beltéri egységet és egy fém, falba süllyeszthető külső egységet, amelyek egy kétvezetékes kaputelefon-rendszer részeként gondoskodnak a zavartalan és kiváló minőségű hangátvitelről. A külső egység elegánsan megtervezett, valamint két cserélhető, piros LED háttérvilágítású névtáblával rendelkezik, amelyek személyre szabottá teszik a látogatók fogadását. A szett kapunyitó elektronikája plusz tápellátás nélkül működik, így a telepítése is egyszerű. A könnyű üzembe helyezhetőség garantált: a kábelek csavarral rögzíthetők, a belső egységek pedig akár asztalra helyezhetők, vagy falra szerelhetők. A tápellátás 230 V~ / 50 Hz, a külső egység mérete 200 x 116 x 55 mm, míg a beltéri egységek mérete 87 x 227 x 45 mm. 
Fedezze fel a Home DP 012 kétlakásos vezetékes kaputelefon szett előnyeit, és hozza közelebb lakóközösségét a modern technológiához!</t>
        </is>
      </c>
    </row>
    <row r="613">
      <c r="A613" s="6" t="inlineStr">
        <is>
          <t xml:space="preserve">   Lakáskiegészítő / Adó-vevő készülék</t>
        </is>
      </c>
      <c r="B613" s="6" t="inlineStr">
        <is>
          <t/>
        </is>
      </c>
      <c r="C613" s="6" t="inlineStr">
        <is>
          <t/>
        </is>
      </c>
      <c r="D613" s="6" t="inlineStr">
        <is>
          <t/>
        </is>
      </c>
      <c r="E613" s="6" t="inlineStr">
        <is>
          <t/>
        </is>
      </c>
      <c r="F613" s="6" t="inlineStr">
        <is>
          <t/>
        </is>
      </c>
      <c r="G613" s="6" t="inlineStr">
        <is>
          <t/>
        </is>
      </c>
    </row>
    <row r="614">
      <c r="A614" s="3" t="inlineStr">
        <is>
          <t>TLKR T82</t>
        </is>
      </c>
      <c r="B614" s="2" t="inlineStr">
        <is>
          <t>Motorla TLKR T82 adóvevő pár, 10km, 16 PMR csatorna, 121 csatorna, iVOX, IPX 4, ~18 óra üzemidő</t>
        </is>
      </c>
      <c r="C614" s="1" t="n">
        <v>51390.0</v>
      </c>
      <c r="D614" s="7" t="n">
        <f>HYPERLINK("https://www.somogyi.hu/product/motorla-tlkr-t82-adovevo-par-10km-16-pmr-csatorna-121-csatorna-ivox-ipx-4-18-ora-uzemido-tlkr-t82-18163","https://www.somogyi.hu/product/motorla-tlkr-t82-adovevo-par-10km-16-pmr-csatorna-121-csatorna-ivox-ipx-4-18-ora-uzemido-tlkr-t82-18163")</f>
        <v>0.0</v>
      </c>
      <c r="E614" s="7" t="n">
        <f>HYPERLINK("https://www.somogyi.hu/data/img/product_main_images/small/18163.jpg","https://www.somogyi.hu/data/img/product_main_images/small/18163.jpg")</f>
        <v>0.0</v>
      </c>
      <c r="F614" s="2" t="inlineStr">
        <is>
          <t>5031753007232</t>
        </is>
      </c>
      <c r="G614" s="4" t="inlineStr">
        <is>
          <t>Egy megbízható és sokoldalú kommunikációs eszközt keres kalandjaihoz vagy munkájához? Ismerje meg a Motorola TLKR T82 adóvevő párt, amely akár 10 km-es hatótávolságával biztosítja, hogy mindig kapcsolatban maradhasson társaival. 
A készülék 16 főcsatornával és 121 alcsatornával rendelkezik, így könnyedén találhat szabad frekvenciát a zavartalan kommunikációhoz, ráadásul engedély nélkül használható a PMR446 szabványnak köszönhetően. A rejtett kijelző csak akkor jelenik meg, amikor szüksége van rá, ezáltal energiát takarít meg és diszkrét marad. Az iVOX/VOX funkció lehetővé teszi a kéz nélküli használatot, hiszen a készülék automatikusan felismeri a hangját. A biztonság érdekében a készülék vészjelző gombbal és kettős csatornafigyeléssel is fel van szerelve, így gyorsan reagálhat sürgős helyzetekben, miközben egyszerre két csatornát is figyelhet.
A 20 féle hívóhang és a vibrálás funkció segít megkülönböztetni a bejövő hívásokat, így sosem marad le egy fontos üzenetről sem. A készülék IPX4-es vízállósági besorolása biztosítja, hogy ellenáll az időjárás viszontagságainak, így bátran használhatja esőben vagy poros környezetben is. A 0,5 W-os teljesítmény és a hosszú, akár 18 órás üzemidő (800 mAh-s Ni-MH akkumulátorral) garantálja, hogy a készülék hosszú távon is megbízhatóan működik.
A csomag tartalma:
2 db adóvevő
2 db Ni-MH akkumulátor (800 mAh)
2 db övcsipesz
1 db hálózati töltő kétágú microUSB dugóval
Használati útmutató
16 db megkülönböztető matrica
Ne habozzon, szerezze be most a Motorola TLKR T82 adóvevő párt, és élvezze a zavartalan kommunikáció szabadságát bárhol és bármikor!</t>
        </is>
      </c>
    </row>
    <row r="615">
      <c r="A615" s="3" t="inlineStr">
        <is>
          <t>TLKR T82 EXTREME</t>
        </is>
      </c>
      <c r="B615" s="2" t="inlineStr">
        <is>
          <t>Motorola TLKR T82 EXTREME adóvevő pár, 10km, 16 PMR csatorna, 121 alcsatorna, iVOX, IPX4, ~18 óra üzemidő</t>
        </is>
      </c>
      <c r="C615" s="1" t="n">
        <v>57690.0</v>
      </c>
      <c r="D615" s="7" t="n">
        <f>HYPERLINK("https://www.somogyi.hu/product/motorola-tlkr-t82-extreme-adovevo-par-10km-16-pmr-csatorna-121-alcsatorna-ivox-ipx4-18-ora-uzemido-tlkr-t82-extreme-16341","https://www.somogyi.hu/product/motorola-tlkr-t82-extreme-adovevo-par-10km-16-pmr-csatorna-121-alcsatorna-ivox-ipx4-18-ora-uzemido-tlkr-t82-extreme-16341")</f>
        <v>0.0</v>
      </c>
      <c r="E615" s="7" t="n">
        <f>HYPERLINK("https://www.somogyi.hu/data/img/product_main_images/small/16341.jpg","https://www.somogyi.hu/data/img/product_main_images/small/16341.jpg")</f>
        <v>0.0</v>
      </c>
      <c r="F615" s="2" t="inlineStr">
        <is>
          <t>5031753007171</t>
        </is>
      </c>
      <c r="G615" s="4" t="inlineStr">
        <is>
          <t>Gondolt már arra, hogy egy megbízható adóvevő mennyire megkönnyíthetné a mindennapokat, legyen szó túrázásról, kalandtúrákról vagy akár munkáról? A Motorola TLKR T82 EXTREME adóvevő pár kiváló választás azok számára, akik hosszú hatótávolságú, strapabíró és könnyen használható kommunikációs eszközt keresnek, amely extrém körülmények között is helytáll.
Ez a PMR446 adóvevő engedély nélkül használható, és akár 10 km-es hatótávolságot is biztosít, így tökéletes választás szabadtéri tevékenységekhez, csapatmunkákhoz vagy táborozáshoz. A készülék 16 főcsatornával és 121 alcsatornával rendelkezik, melyek segítségével mindig megtalálhatja a tiszta, zavarmentes kapcsolatot. Az adóvevő IPX4 időjárásálló kivitelezése biztosítja, hogy esőben és más nehéz időjárási körülmények között is problémamentesen használhassa. A rejtett kijelző és a LED lámpa praktikus funkciók, melyek a sötétben való használat során teszik még kényelmesebbé a kommunikációt.
Az iVOX technológia lehetővé teszi a kéz nélküli használatot fülszett nélkül, így a beszélgetések folyamatosak és egyszerűek, még akkor is, ha a kezei foglaltak. A készülékhez tartozó 800mAh újratölthető akkumulátor akár 18 órás üzemidőt biztosít, így hosszabb időn át is megbízhatóan működik. Az automatikus zajzár funkció révén tiszta hangminőségben kommunikálhat, még zajos környezetben is. Emellett a vészjelző gomb és a vibrálás funkció további biztonságot nyújtanak veszélyes helyzetekben.
A csomag tartalmaz mindent, amire szüksége lehet: 2 adóvevőt, újratölthető akkumulátorokat, övcsipeszeket, hálózati töltőt, nyakba akasztót, fülszetteket és egy praktikus hordozótáskát. A megkülönböztető matricák segítenek abban, hogy könnyen beazonosíthassa a készülékeket csapattársai között.
Ne hagyja, hogy a nehéz körülmények megzavarják a kapcsolatot! Rendelje meg a Motorola TLKR T82 EXTREME adóvevőt most, és biztosítsa a folyamatos, megbízható kommunikációt bárhol, bármikor!</t>
        </is>
      </c>
    </row>
    <row r="616">
      <c r="A616" s="3" t="inlineStr">
        <is>
          <t>TLKR T62</t>
        </is>
      </c>
      <c r="B616" s="2" t="inlineStr">
        <is>
          <t>Motorola TLKR T62 adóvevő pár, 8km, 16 PMR csatorna, 121 csatorna, ~16 óra üzemidő</t>
        </is>
      </c>
      <c r="C616" s="1" t="n">
        <v>34090.0</v>
      </c>
      <c r="D616" s="7" t="n">
        <f>HYPERLINK("https://www.somogyi.hu/product/motorola-tlkr-t62-adovevo-par-8km-16-pmr-csatorna-121-csatorna-16-ora-uzemido-tlkr-t62-16617","https://www.somogyi.hu/product/motorola-tlkr-t62-adovevo-par-8km-16-pmr-csatorna-121-csatorna-16-ora-uzemido-tlkr-t62-16617")</f>
        <v>0.0</v>
      </c>
      <c r="E616" s="7" t="n">
        <f>HYPERLINK("https://www.somogyi.hu/data/img/product_main_images/small/16617.jpg","https://www.somogyi.hu/data/img/product_main_images/small/16617.jpg")</f>
        <v>0.0</v>
      </c>
      <c r="F616" s="2" t="inlineStr">
        <is>
          <t>5031753007324</t>
        </is>
      </c>
      <c r="G616" s="4" t="inlineStr">
        <is>
          <t>Hogyan biztosíthatja a hatékony kommunikációt akár 8 km távolságig? A Motorola TLKR T62 adóvevő pár ideális megoldás mindazok számára, akik egyszerűen és megbízhatóan szeretnék tartani a kapcsolatot túrázás, kempingezés, sporttevékenységek vagy akár munka közben. A 16 PMR csatorna, 121 csatornakombináció és a strapabíró kialakítás biztosítja, hogy mindig kapcsolatban maradhasson.
Kiváló teljesítmény hosszú távon is
A Motorola TLKR T62 adóvevő akár 8 km-es hatótávolságot kínál, ami tökéletes megoldás kül- és beltéri használatra egyaránt. Az adóvevők 16 PMR csatornával és 121 alcsatornával rendelkeznek, amelyek segítségével könnyedén elkerülhetők a nem kívánt zavaró jelek, így tiszta és zavartalan kommunikációt biztosítanak.
Hosszú üzemidő és rugalmas tápellátás
Az eszköz akár 16 órás üzemidőt kínál, amely lehetővé teszi a hosszabb használatot egyetlen töltéssel. A tápellátást 2 újratölthető Ni-MH akkumulátor biztosítja, amelyek az AC adapter segítségével gyorsan feltölthetők. Alternatív megoldásként 3 db AA (LR6) elem is használható, így mindig alkalmazkodhat a rendelkezésre álló lehetőségekhez.
Hasznos funkciók a kényelmes használatért
A készülékek számos praktikus funkcióval rendelkeznek, mint például a csatornafelügyelet, amely segít a legjobb minőségű csatorna kiválasztásában. A billentyűzár megakadályozza a véletlen beállításváltozásokat, míg az akkuállapot-kijelzés mindig pontosan tájékoztat a hátralévő üzemidőről. Az eszközök “Roger” hangfunkcióval is rendelkeznek, amely értesíti a felhasználót, amikor a beszélgetés véget ért, megkönnyítve ezzel a kommunikáció folyamatát.
Praktikus és strapabíró kialakítás
Az ergonomikus kialakítású adóvevők strapabírók, és hosszú távon is kényelmesen használhatók. A készülékhez tartozó övcsipeszek megkönnyítik a hordozást, míg a tartós anyaghasználat biztosítja, hogy az eszközök ellenálljanak a mindennapi igénybevételnek.
Teljes szett a maximális kényelemért
A csomag tartalmaz 2 TLKR T62 készüléket, 2 újratölthető Ni-MH akkumulátort, egy AC adaptert, 2 övcsipeszt és 16 matricát, amelyek segítenek a készülékek azonosításában. Ezáltal minden szükséges kiegészítőt megkap a zökkenőmentes használathoz.
Miért válassza a Motorola TLKR T62 adóvevő párost?
Ez az eszköz ideális választás mindazok számára, akik megbízható, hosszú hatótávolságú és könnyen kezelhető kommunikációs eszközt keresnek. Akár szabadidős tevékenységekre, akár munkához használja, a TLKR T62 minden helyzetben megállja a helyét.
Tegye kényelmesebbé és hatékonyabbá a kommunikációt a Motorola TLKR T62 adóvevő párral, amely megbízhatóságot és rugalmasságot kínál minden felhasználónak!</t>
        </is>
      </c>
    </row>
    <row r="617">
      <c r="A617" s="3" t="inlineStr">
        <is>
          <t>TLKR T42</t>
        </is>
      </c>
      <c r="B617" s="2" t="inlineStr">
        <is>
          <t>Motorola TLKR T42 adóvevő pár, 4km, 16 PMR csatorna, ~16 óra üzemidő</t>
        </is>
      </c>
      <c r="C617" s="1" t="n">
        <v>18190.0</v>
      </c>
      <c r="D617" s="7" t="n">
        <f>HYPERLINK("https://www.somogyi.hu/product/motorola-tlkr-t42-adovevo-par-4km-16-pmr-csatorna-16-ora-uzemido-tlkr-t42-16379","https://www.somogyi.hu/product/motorola-tlkr-t42-adovevo-par-4km-16-pmr-csatorna-16-ora-uzemido-tlkr-t42-16379")</f>
        <v>0.0</v>
      </c>
      <c r="E617" s="7" t="n">
        <f>HYPERLINK("https://www.somogyi.hu/data/img/product_main_images/small/16379.jpg","https://www.somogyi.hu/data/img/product_main_images/small/16379.jpg")</f>
        <v>0.0</v>
      </c>
      <c r="F617" s="2" t="inlineStr">
        <is>
          <t>5031753007492</t>
        </is>
      </c>
      <c r="G617" s="4" t="inlineStr">
        <is>
          <t>Hogyan érheti el a gyors és egyszerű kommunikációt akár 4 km távolságban? A Motorola TLKR T42 adóvevő pár ideális választás mindennapi felhasználásra, legyen szó családi kirándulásról, szabadtéri tevékenységekről vagy kisebb csapatmunkáról. A 16 PMR csatornával és megbízható funkciókkal rendelkező eszköz egyszerre könnyen használható és rendkívül praktikus.
Megbízható hatótávolság a zavartalan kapcsolattartáshoz
A készülékek akár 4 km-es hatótávolságot is elérnek, ami biztosítja a folyamatos kommunikációt kültéri környezetben. A 16 PMR csatorna lehetőséget nyújt a legmegfelelőbb csatorna kiválasztására, így elkerülhetőek a nem kívánt interferenciák, és zavartalan kapcsolatot élvezhet.
Hosszú üzemidő és kényelmes tápellátás
A Motorola TLKR T42 akár 16 órás üzemidőt is biztosít, így ideális hosszabb időtartamú használatra is. A készülék 3 AAA elemmel (LR 03) működik, amelyek könnyen cserélhetők, így mindig biztosítható a megfelelő energiaellátás.
Hasznos funkciók a mindennapi használathoz
Az adóvevők olyan praktikus funkciókkal vannak felszerelve, mint a billentyűzár, amely megakadályozza a véletlen csatornaváltást, valamint az akkuállapot-kijelzés, amely figyelmeztet, ha az energia szintje csökken. Az 1 hívóhang és a “Roger” hang értesíti a felhasználót a beszélgetés végéről, megkönnyítve ezzel a kommunikáció folyamatát.
Kompakt kialakítás és színes megjelenés
Az adóvevők ergonomikus és könnyen hordozható kialakításúak, övcsipeszük pedig biztosítja, hogy mindig kéznél legyenek. A készülékek vegyes színű változatban érhetők el, így könnyen megkülönböztethetők, különösen, ha többen használják őket egy időben.
Csomag tartalma
A szett tartalmaz 2 adóvevőt, 2 övcsipeszt, és az összes szükséges kiegészítőt, hogy az eszközöket azonnal használatba vehesse.
Miért érdemes a Motorola TLKR T42 adóvevőt választania?
Ez a könnyen kezelhető és kompakt adóvevő pár ideális választás mindenkinek, aki megbízható, költséghatékony kommunikációs eszközt keres. A tiszta hangátvitel, a hosszú üzemidő és a strapabíró kialakítás révén a TLKR T42 kiváló társ bármilyen szabadtéri kalandhoz vagy mindennapi feladathoz.
Tegye egyszerűbbé és hatékonyabbá a kapcsolattartást a Motorola TLKR T42 adóvevő párral, amely modern megoldást kínál minden helyzetben!</t>
        </is>
      </c>
    </row>
    <row r="618">
      <c r="A618" s="6" t="inlineStr">
        <is>
          <t xml:space="preserve">   Lakáskiegészítő / Csengő</t>
        </is>
      </c>
      <c r="B618" s="6" t="inlineStr">
        <is>
          <t/>
        </is>
      </c>
      <c r="C618" s="6" t="inlineStr">
        <is>
          <t/>
        </is>
      </c>
      <c r="D618" s="6" t="inlineStr">
        <is>
          <t/>
        </is>
      </c>
      <c r="E618" s="6" t="inlineStr">
        <is>
          <t/>
        </is>
      </c>
      <c r="F618" s="6" t="inlineStr">
        <is>
          <t/>
        </is>
      </c>
      <c r="G618" s="6" t="inlineStr">
        <is>
          <t/>
        </is>
      </c>
    </row>
    <row r="619">
      <c r="A619" s="3" t="inlineStr">
        <is>
          <t>DB 2020AC</t>
        </is>
      </c>
      <c r="B619" s="2" t="inlineStr">
        <is>
          <t>Vezeték nélküli csengő, 230V, 200m</t>
        </is>
      </c>
      <c r="C619" s="1" t="n">
        <v>8290.0</v>
      </c>
      <c r="D619" s="7" t="n">
        <f>HYPERLINK("https://www.somogyi.hu/product/vezetek-nelkuli-csengo-230v-200m-db-2020ac-15467","https://www.somogyi.hu/product/vezetek-nelkuli-csengo-230v-200m-db-2020ac-15467")</f>
        <v>0.0</v>
      </c>
      <c r="E619" s="7" t="n">
        <f>HYPERLINK("https://www.somogyi.hu/data/img/product_main_images/small/15467.jpg","https://www.somogyi.hu/data/img/product_main_images/small/15467.jpg")</f>
        <v>0.0</v>
      </c>
      <c r="F619" s="2" t="inlineStr">
        <is>
          <t>5999084935016</t>
        </is>
      </c>
      <c r="G619" s="4" t="inlineStr">
        <is>
          <t>Masszívan kialakított csengő vásárlását tervezi? Ez esetben a DB 2020AC a legideálisabb az Ön számára!
Nyílt terepen 200 m hatótávolsággal rendelkező vezeték nélküli csengő, amely 59 kiválasztható dallamot biztosít. A termék igényes, többszólamú hangzást kínál. A dallamok hangereje 5 fokozatban állítható. A csengő a hangjelzés mellett villogó fényjelzést ad, továbbá kék színű LED-es elemállapot-kijelzést biztosít. Tápellátása: nyomógomb LR23A (12 V) elem, beltéri egység 230 V~ / 50 Hz / 0,9 W.
Válassza a minőségi termékeket és rendeljen webáruházunkból!</t>
        </is>
      </c>
    </row>
    <row r="620">
      <c r="A620" s="3" t="inlineStr">
        <is>
          <t>DC313NG</t>
        </is>
      </c>
      <c r="B620" s="2" t="inlineStr">
        <is>
          <t>Honeywell Home DC313NG vezeték nélküli csengő, max. 150 m hatótáv, 6 dallam, LED jelzőfény, elemes tápellátás</t>
        </is>
      </c>
      <c r="C620" s="1" t="n">
        <v>10690.0</v>
      </c>
      <c r="D620" s="7" t="n">
        <f>HYPERLINK("https://www.somogyi.hu/product/honeywell-home-dc313ng-vezetek-nelkuli-csengo-max-150-m-hatotav-6-dallam-led-jelzofeny-elemes-tapellatas-dc313ng-19266","https://www.somogyi.hu/product/honeywell-home-dc313ng-vezetek-nelkuli-csengo-max-150-m-hatotav-6-dallam-led-jelzofeny-elemes-tapellatas-dc313ng-19266")</f>
        <v>0.0</v>
      </c>
      <c r="E620" s="7" t="n">
        <f>HYPERLINK("https://www.somogyi.hu/data/img/product_main_images/small/19266.jpg","https://www.somogyi.hu/data/img/product_main_images/small/19266.jpg")</f>
        <v>0.0</v>
      </c>
      <c r="F620" s="2" t="inlineStr">
        <is>
          <t>5004100965417</t>
        </is>
      </c>
      <c r="G620" s="4" t="inlineStr">
        <is>
          <t>Zavarja, hogy nem hallja időben, ha valaki csenget az ajtón? 
A Honeywell Home DC313NG vezeték nélküli csengő megbízható megoldást kínál az otthoni csengőrendszer korszerűsítésére: akár 150 méteres hatótávolság, erőteljes hangzás és praktikus LED jelzőfény gondoskodik arról, hogy egyetlen látogatóról se maradjon le.
Modern technológia, amit észrevesz – és meghall
Ez a prémium minőségű vezeték nélküli csengő maximum 150 méteres hatótávolsággal rendelkezik, így ideális családi házakhoz, irodákhoz vagy nagyobb belső terekhez is. A maximum 84 dB hangerő akár 80 méter távolságból is jól hallható, míg a beépített LED fényjelzés vizuális visszajelzést ad a csengőhang mellett – tökéletes választás zajos környezetbe vagy hallássérült felhasználók számára is.
Személyre szabható és felhasználóbarát
A készülék 6 választható dallammal teszi változatossá az értesítést, a hangerő pedig állítható, így mindenki megtalálhatja a számára ideális beállítást. A csengő 868 MHz-es frekvencián működik, ami stabil, interferenciamentes kapcsolatot biztosít a beltéri egység és a nyomógomb között. A nyomógomb IP55 védettséggel rendelkezik, így kültéren is bátran használható, ellenáll az esőnek, pornak, és a különböző időjárási körülményeknek is.
Kompakt méret, praktikus működés
A beltéri egység 4 darab 1,5 V-os AA elemmel működik (nem tartozék), a nyomógombhoz szükséges 3 V-os CR2032 elem viszont a csomagban megtalálható. A készülék gyorsan és egyszerűen üzembe helyezhető – nincs szükség vezetékezésre vagy bonyolult telepítésre.
* Beltéri egység mérete: 70 × 110 × 40 mm
* Nyomógomb mérete: 30 × 70 × 15 mm
Miért érdemes a Honeywell Home DC313NG vezeték nélküli csengőt választani?
- Hosszú, akár 150 méteres hatótáv
- Nagy hangerő (max. 84 dB) és LED fényjelzés
- 6 különböző csengőhang, állítható hangerő
- Időjárásálló IP55 védett nyomógomb
- Egyszerű telepítés, elemes működés
Válassza a Honeywell Home DC313NG csengőt, ha megbízható, sokoldalú és jól hallható megoldást keres otthona számára! Tegye otthonát még biztonságosabbá és kényelmesebbé – kattintson a rendeléshez, és élvezze a modern technológia előnyeit!</t>
        </is>
      </c>
    </row>
    <row r="621">
      <c r="A621" s="3" t="inlineStr">
        <is>
          <t>DB 1051AC</t>
        </is>
      </c>
      <c r="B621" s="2" t="inlineStr">
        <is>
          <t>Home DB 1051AC vezeték nélküli csengő, 100 m hatótáv, 3 fokozatú hangerő, 36 dallam, 230 V-os tápellátás</t>
        </is>
      </c>
      <c r="C621" s="1" t="n">
        <v>4890.0</v>
      </c>
      <c r="D621" s="7" t="n">
        <f>HYPERLINK("https://www.somogyi.hu/product/home-db-1051ac-vezetek-nelkuli-csengo-100-m-hatotav-3-fokozatu-hangero-36-dallam-230-v-os-tapellatas-db-1051ac-17308","https://www.somogyi.hu/product/home-db-1051ac-vezetek-nelkuli-csengo-100-m-hatotav-3-fokozatu-hangero-36-dallam-230-v-os-tapellatas-db-1051ac-17308")</f>
        <v>0.0</v>
      </c>
      <c r="E621" s="7" t="n">
        <f>HYPERLINK("https://www.somogyi.hu/data/img/product_main_images/small/17308.jpg","https://www.somogyi.hu/data/img/product_main_images/small/17308.jpg")</f>
        <v>0.0</v>
      </c>
      <c r="F621" s="2" t="inlineStr">
        <is>
          <t>5999084953300</t>
        </is>
      </c>
      <c r="G621" s="4" t="inlineStr">
        <is>
          <t>Hogyan teremthet kényelmesebb és modernebb bejárati értesítést otthonában vagy irodájában?
A Home DB 1051AC vezeték nélküli csengő kiváló választás mindazok számára, akik megbízható, könnyen telepíthető és esztétikus csengőt keresnek. Az akár 100 méteres hatótávolsággal rendelkező készülék praktikus megoldást kínál, legyen szó lakóházakról, irodákról vagy üzletekről. A vezeték nélküli kialakításnak köszönhetően gyorsan és egyszerűen üzembe helyezhető, így azonnal használatra kész.
Változatos funkciók és egyszerű kezelhetőség
A Home DB 1051AC csengő 36 különböző dallamot kínál, így mindenki megtalálhatja a számára legmegfelelőbb csengőhangot. A dallamok hangereje három fokozatban állítható, így a hangerő könnyen igazítható a környezet zajszintjéhez. A készülék működési frekvenciája 433,92 MHz, amely stabil és zavarvédett kapcsolatot biztosít, így más hasonló csengőktől függetlenül, megbízhatóan működik.
Bővíthető rendszer és megbízható működés
A csengő egyedi tanuló funkcióval rendelkezik, amely lehetővé teszi, hogy akár 8 nyomógombot is hozzátanítson egyetlen csengőhöz. Ez különösen előnyös, ha több bejáratot kíván ellátni értesítéssel, vagy ha nagyobb területeken kívánja használni a rendszert. A nyomógomb tápellátását egy 3V-os CR2032 gombelem biztosítja, amely a csomag része, míg a csengő közvetlenül 230 V-os hálózatról működik, így nincs szükség elemcserére.
Kompakt, energiatakarékos és esztétikus kivitel
A csengő alacsony fogyasztású, mindössze 0,5 W-os energiaigényű, így hosszú távon is gazdaságos választás. A modern, letisztult dizájn bármilyen környezetbe könnyedén beilleszthető, miközben a kompakt méretének köszönhetően nem foglal sok helyet.
Miért válassza a Home DB 1051AC vezeték nélküli csengőt?
– Akár 100 méteres hatótávolság nyílt terepen
 – 36 különböző dallam, amelyek közül könnyedén választhat 
– Három fokozatban állítható hangerő a különböző környezeti zajokhoz igazítva 
– Zavarvédett működés más eszközöktől, így garantált a stabil kapcsolat 
– Egyszerre akár 8 nyomógombot is hozzátaníthat, így több bejáratot is elláthat 
– Könnyen telepíthető és energiatakarékos, 230 V-os hálózati tápellátással működik
Ne várjon tovább a tökéletes megoldásra! Rendelje meg a Home DB 1051AC vezeték nélküli csengőt, és élvezze a modern technológia nyújtotta kényelmet és megbízhatóságot otthonában vagy irodájában!</t>
        </is>
      </c>
    </row>
    <row r="622">
      <c r="A622" s="3" t="inlineStr">
        <is>
          <t>DBS 1501AC</t>
        </is>
      </c>
      <c r="B622" s="2" t="inlineStr">
        <is>
          <t>Home DBS 1501AC vezeték nélküli csengőszett, 150m hatótáv, 36 dallam, többszólamú hang, 4 fokozatú hangerő, kék LED, 230V-os tápellátás</t>
        </is>
      </c>
      <c r="C622" s="1" t="n">
        <v>12190.0</v>
      </c>
      <c r="D622" s="7" t="n">
        <f>HYPERLINK("https://www.somogyi.hu/product/home-dbs-1501ac-vezetek-nelkuli-csengoszett-150m-hatotav-36-dallam-tobbszolamu-hang-4-fokozatu-hangero-kek-led-230v-os-tapellatas-dbs-1501ac-15841","https://www.somogyi.hu/product/home-dbs-1501ac-vezetek-nelkuli-csengoszett-150m-hatotav-36-dallam-tobbszolamu-hang-4-fokozatu-hangero-kek-led-230v-os-tapellatas-dbs-1501ac-15841")</f>
        <v>0.0</v>
      </c>
      <c r="E622" s="7" t="n">
        <f>HYPERLINK("https://www.somogyi.hu/data/img/product_main_images/small/15841.jpg","https://www.somogyi.hu/data/img/product_main_images/small/15841.jpg")</f>
        <v>0.0</v>
      </c>
      <c r="F622" s="2" t="inlineStr">
        <is>
          <t>5999084938758</t>
        </is>
      </c>
      <c r="G622" s="4" t="inlineStr">
        <is>
          <t>Hogyan teheti kényelmesebbé otthonát egy megbízható és könnyen telepíthető vezeték nélküli csengőszettel? A Home DBS 1501AC vezeték nélküli csengőszett ideális választás, ha egyszerű, mégis hatékony megoldást keres otthona számára. Az akár 150 méteres hatótáv, a 36 különböző dallam és a többszólamú hangzás biztosítja, hogy a készülék minden igényt kielégítsen.
Kiváló hatótávolság és zavarvédelem
Ez a vezeték nélküli csengőszett nyílt terepen akár 150 méteres hatótávolsággal működik, így tökéletesen használható kisebb és nagyobb ingatlanokban egyaránt. A 433,92 MHz-es működési frekvencia és az egyedi kódolás megakadályozza, hogy más csengők jelei interferenciát okozzanak, biztosítva ezzel a zavartalan működést.
Sokoldalú funkciók és testre szabhatóság
A Home DBS 1501AC csengő 36 különböző dallamot kínál, amelyek között klasszikus és modern dallamokat is találhat. A többszólamú, kellemes hangzás fokozza a felhasználói élményt, míg a hangerő 4 fokozatban állítható, így mindig az igényeihez igazíthatja a készüléket.
Praktikus LED visszajelzők és vizuális figyelmeztetések
A csengő kék LED visszajelzője vizuális információt nyújt a csengetés állapotáról, míg a villogó fényjelzés csengetéskor hasznos segítség lehet, különösen halláskárosultak számára. Ez a funkció biztosítja, hogy a csengő figyelemfelkeltő legyen minden helyzetben.
Elem nélküli nyomógomb és energiatakarékos működés
A nyomógombhoz tartozó 23 A (12 V) elem a csomag részét képezi, míg a csengő 230 V~ / 50 Hz hálózati tápellátással működik, mindössze 0,3 W fogyasztással. Az energiatakarékos kialakítás hosszú távon is gazdaságos használatot tesz lehetővé.
Könnyű telepítés és bővíthetőség
A csengőszett könnyen telepíthető, a tanuló funkció segítségével pedig akár 4 nyomógomb is párosítható egy csengővel. Ez lehetővé teszi, hogy az ingatlan különböző bejárataihoz külön nyomógombot helyezzen el, növelve ezzel a rendszer rugalmasságát.
Kompakt méretek a diszkrét elhelyezésért
A beltéri egység mindössze 50 x 100 x 35 mm, míg a nyomógomb 45 x 70 x 20 mm méretű, így a készülék diszkréten elhelyezhető bármilyen otthoni környezetben anélkül, hogy túl sok helyet foglalna.
Miért válassza a Home DBS 1501AC csengőszettet?
Ez a csengőszett minden olyan tulajdonsággal rendelkezik, amely kényelmesebbé és praktikusabbá teszi a mindennapokat. A hosszú hatótáv, a bővíthető rendszer, a vizuális és hangjelzések, valamint az energiatakarékos működés révén ez az eszköz tökéletes megoldást kínál a modern otthonok számára.
Tegye egyszerűbbé és kényelmesebbé a vendégek fogadását a Home DBS 1501AC vezeték nélküli csengőszettel, amely stílusos, megbízható és sokoldalú megoldást nyújt!</t>
        </is>
      </c>
    </row>
    <row r="623">
      <c r="A623" s="3" t="inlineStr">
        <is>
          <t>DB 1020DC</t>
        </is>
      </c>
      <c r="B623" s="2" t="inlineStr">
        <is>
          <t>Home DB 1020DC vezeték nélküli csengő, 100m hatótáv, 36 dallam, akár 8 nyomógomb kezelése</t>
        </is>
      </c>
      <c r="C623" s="1" t="n">
        <v>4590.0</v>
      </c>
      <c r="D623" s="7" t="n">
        <f>HYPERLINK("https://www.somogyi.hu/product/home-db-1020dc-vezetek-nelkuli-csengo-100m-hatotav-36-dallam-akar-8-nyomogomb-kezelese-db-1020dc-16649","https://www.somogyi.hu/product/home-db-1020dc-vezetek-nelkuli-csengo-100m-hatotav-36-dallam-akar-8-nyomogomb-kezelese-db-1020dc-16649")</f>
        <v>0.0</v>
      </c>
      <c r="E623" s="7" t="n">
        <f>HYPERLINK("https://www.somogyi.hu/data/img/product_main_images/small/16649.jpg","https://www.somogyi.hu/data/img/product_main_images/small/16649.jpg")</f>
        <v>0.0</v>
      </c>
      <c r="F623" s="2" t="inlineStr">
        <is>
          <t>5999084946814</t>
        </is>
      </c>
      <c r="G623" s="4" t="inlineStr">
        <is>
          <t>Olyan vezeték nélküli csengőt keres, amely egyszerre sokoldalú, megbízható és stílusos?
A Home DB 1020DC vezeték nélküli csengő minden igényt kielégít, legyen szó otthoni vagy irodai használatról. Az akár 100 méteres hatótávolság, a 36 választható dallam, valamint az egyedi kódolás tanuló funkció biztosítja, hogy a csengő mindig megbízhatóan működjön, miközben a modern dizájnja tökéletesen illeszkedik bármilyen környezetbe.
Kiváló teljesítmény és bővíthető rendszer
A csengő a 433,9 MHz-es működési frekvencián működik, amely stabil és zavartalan kapcsolatot biztosít a nyomógomb és a beltéri egység között. Az egyedi kódolás tanuló funkcióval rendelkező készülék kizárja az interferenciát más csengőktől, így Ön biztos lehet benne, hogy mindig az Ön rendszeréhez tartozó jeleket veszi.
A csengő különlegessége, hogy egyszerre akár 8 nyomógombot is kezelni képes, így tökéletes választás nagyobb otthonok vagy irodák számára, ahol több bejárat is van. Ez a bővíthetőség lehetőséget nyújt arra, hogy egy rendszeren belül több szett is integrálható legyen.
Hangzás és design kéz a kézben
A csengő 36 különböző dallamot kínál, amelyek között klasszikus és modern stílusú hangok is megtalálhatók. Ez lehetővé teszi, hogy a csengőt személyre szabja, és minden alkalommal öröm legyen meghallani az érkező látogatókat.
A kompakt méretű csengő (94 x 70 x 30 mm) és nyomógomb (89 x 89 x 15 mm) letisztult fehér színben érkezik, amely harmonikusan illeszkedik bármilyen enteriőrbe vagy kültéri használat esetén a bejárati ajtó környezetébe.
Tartós kialakítás és egyszerű használat
A nyomógomb IP44-es védelemmel rendelkezik, amely biztosítja, hogy az eszköz ellenálljon az időjárás viszontagságainak, például esőnek és pornak. A tápellátást a tartozék CR2032 gombelem biztosítja, amely hosszú élettartamot garantál. A csengő három 1,5 V-os AA elemmel működik (nem tartozék), amely gazdaságos és energiatakarékos működést tesz lehetővé.
Miért érdemes a Home DB 1020DC csengőt választani?
– Hosszú hatótáv: Akár 100 méteres jelátvitel, amely ideális kisebb és közepes méretű otthonokhoz vagy irodákhoz. – Bővíthetőség: Egyszerre akár 8 nyomógombot is kezelhet, így több bejárathoz is használható. – Egyedi kódolás: A tanuló funkcióval ellátott rendszer zavarmentes működést biztosít. – Választható dallamok: 36 dallam közül választhat, így mindig az igényeinek megfelelő hangot hallhatja. – Tartós kivitel: Az IP44-es védelem garantálja, hogy a nyomógomb kültéri használatra is alkalmas.
Tegye otthonát kényelmesebbé és biztonságosabbá a Home DB 1020DC vezeték nélküli csengővel, és élvezze a modern technológia előnyeit minden nap!</t>
        </is>
      </c>
    </row>
    <row r="624">
      <c r="A624" s="3" t="inlineStr">
        <is>
          <t>DC515N</t>
        </is>
      </c>
      <c r="B624" s="2" t="inlineStr">
        <is>
          <t>Honeywell Home DC515N vezeték nélküli csengő, 150m hatótáv, 9 dallam, időzíthető némítás, LED fényjelzés, többcsatornás, elemes tápellátás</t>
        </is>
      </c>
      <c r="C624" s="1" t="n">
        <v>21390.0</v>
      </c>
      <c r="D624" s="7" t="n">
        <f>HYPERLINK("https://www.somogyi.hu/product/honeywell-home-dc515n-vezetek-nelkuli-csengo-150m-hatotav-9-dallam-idozitheto-nemitas-led-fenyjelzes-tobbcsatornas-elemes-tapellatas-dc515n-17296","https://www.somogyi.hu/product/honeywell-home-dc515n-vezetek-nelkuli-csengo-150m-hatotav-9-dallam-idozitheto-nemitas-led-fenyjelzes-tobbcsatornas-elemes-tapellatas-dc515n-17296")</f>
        <v>0.0</v>
      </c>
      <c r="E624" s="7" t="n">
        <f>HYPERLINK("https://www.somogyi.hu/data/img/product_main_images/small/17296.jpg","https://www.somogyi.hu/data/img/product_main_images/small/17296.jpg")</f>
        <v>0.0</v>
      </c>
      <c r="F624" s="2" t="inlineStr">
        <is>
          <t>5004100965516</t>
        </is>
      </c>
      <c r="G624" s="4" t="inlineStr">
        <is>
          <t>Szeretne olyan csengőt, amely nemcsak praktikus, de elegáns és megbízható is?
A Honeywell Home DC515N vezeték nélküli csengő tökéletes választás, amely ötvözi a modern dizájnt, a fejlett technológiát és a kényelmes használatot. Az akár 150 méteres hatótávolság, a 9 dallam közül választható hangok, valamint az időzíthető némítás minden igényt kielégít – legyen szó lakásról, irodáról vagy családi házról.
Kimagasló funkcionalitás és egyedi beállítási lehetőségek
A Honeywell Home DC515N vezeték nélküli csengő a 868 MHz-es frekvencián működik, amely biztosítja a stabil és zavarmentes kapcsolatot a beltéri egység és a nyomógomb között. A készülék 84 dB-es hangerővel és 9 választható dallammal rendelkezik, így minden helyzethez alkalmazkodik, legyen szó csendes estékről vagy zsúfolt nappalokról.
Az időzíthető némítás funkcióval egyszerűen kikapcsolhatja a csengőt 3, 6, 9 vagy akár 12 órára, így biztosítva a zavartalan pihenést vagy a koncentrált munkát.
Stílusos LED fényjelzés és bővíthetőség
A csengő modern HALO keretfénye diszkrét, mégis elegáns vizuális élményt nyújt, miközben az erős LED fényjelzés biztosítja, hogy akkor is értesüljön a látogatókról, ha a csengő hangját nem hallja.
A készülék különlegessége, hogy egy nyomógombhoz több csengő, vagy egy csengőhöz több nyomógomb is csatlakoztatható. Ez a rugalmas bővíthetőség ideális nagyobb otthonok vagy irodák számára, ahol több bejáratot szeretne lefedni.
Tartós és kültéri használatra is alkalmas
A nyomógomb IP55-ös vízálló védelemmel rendelkezik, amely biztosítja a megbízható működést az időjárási körülményektől függetlenül. A kompakt méretű nyomógomb (70 x 30 x 15 mm) könnyen felszerelhető, és a csomagban található CR2032 elem azonnali üzemkészséget garantál.
Egyszerű telepítés és energiatakarékos működés
A beltéri egység 3 darab AA elemmel működik (nem tartozék), így gyorsan és könnyedén telepíthető kábelezés nélkül. Az elemállapot-kijelző figyelmezteti Önt, ha az elemek cserére szorulnak, így a csengő mindig megbízhatóan üzemel.
Miért érdemes a Honeywell Home DC515N csengőt választani?
– Hosszú hatótáv: Akár 150 méteres jelátvitel nyílt terepen, amely ideális nagyobb lakásokhoz és irodákhoz.
– Kiváló hangzás: 9 dallam közül választhat, amelyek minden stílushoz illeszkednek.
– Felhasználóbarát: Időzíthető némítás és kikapcsolható LED fényjelzés a maximális kényelem érdekében.
– Bővíthetőség: Több nyomógomb és csengő csatlakoztatható a még nagyobb rugalmasság érdekében.
– Időtálló kivitel: Az IP55-ös védelem biztosítja a nyomógomb kültéri használhatóságát.
Válassza a Honeywell Home DC515N vezeték nélküli csengőt, és élvezze a modern technológia, a letisztult megjelenés és a megbízható működés előnyeit otthonában vagy irodájában!</t>
        </is>
      </c>
    </row>
    <row r="625">
      <c r="A625" s="3" t="inlineStr">
        <is>
          <t>DC313N</t>
        </is>
      </c>
      <c r="B625" s="2" t="inlineStr">
        <is>
          <t>Honeywell Home DC313N vezeték nélküli csengő, 150m hatótáv, 6 dallam, LED jelzőfény, IP55 nyomógomb, elemes tápellátás</t>
        </is>
      </c>
      <c r="C625" s="1" t="n">
        <v>19190.0</v>
      </c>
      <c r="D625" s="7" t="n">
        <f>HYPERLINK("https://www.somogyi.hu/product/honeywell-home-dc313n-vezetek-nelkuli-csengo-150m-hatotav-6-dallam-led-jelzofeny-ip55-nyomogomb-elemes-tapellatas-dc313n-17294","https://www.somogyi.hu/product/honeywell-home-dc313n-vezetek-nelkuli-csengo-150m-hatotav-6-dallam-led-jelzofeny-ip55-nyomogomb-elemes-tapellatas-dc313n-17294")</f>
        <v>0.0</v>
      </c>
      <c r="E625" s="7" t="n">
        <f>HYPERLINK("https://www.somogyi.hu/data/img/product_main_images/small/17294.jpg","https://www.somogyi.hu/data/img/product_main_images/small/17294.jpg")</f>
        <v>0.0</v>
      </c>
      <c r="F625" s="2" t="inlineStr">
        <is>
          <t>5004100965370</t>
        </is>
      </c>
      <c r="G625" s="4" t="inlineStr">
        <is>
          <t>Olyan csengőt keres, amely egyszerűen telepíthető, mégis stílusos és megbízható?
A Honeywell Home DC313N vezeték nélküli csengő ideális választás minden otthon vagy iroda számára. Az akár 150 méteres hatótávolság, a 6 választható dallam, valamint a praktikus LED jelzőfény biztosítja, hogy a készülék a funkcionalitást és az esztétikát tökéletesen ötvözze.
Kiemelkedő teljesítmény és rugalmasság
A Honeywell Home DC313N csengő a 868 MHz-es működési frekvencián működik, amely stabil és megbízható kapcsolatot biztosít a beltéri egység és a nyomógomb között. A maximális 84 dB-es hangerő jól hallható minden helyiségből, míg a 6 dallam közül választható hangjelzések lehetővé teszik, hogy a csengő hangját személyre szabja, ezzel is növelve otthona kényelmét.
A LED jelzőfény csengetéskor vizuális értesítést nyújt, amely különösen praktikus, ha zajos környezetben tartózkodik, vagy ha a csengőt halláskárosultak számára szeretné használni.
Időtálló és kültéri használatra is alkalmas
A nyomógomb IP55-ös vízálló védelemmel rendelkezik, amely ellenáll az esőnek, hónak és poros környezetnek. Kompakt mérete (70 x 30 x 15 mm) lehetővé teszi, hogy szinte bárhová elhelyezhető legyen, diszkrét, mégis modern megjelenésével tökéletesen illeszkedik bármilyen környezetbe.
Egyszerű telepítés és energiatakarékos működés
A beltéri egység 4 darab AA elemmel működik (nem tartozék), így nincs szükség vezetékekre, a nyomógomb pedig a tartozék CR2032 elem segítségével már azonnal üzemkész. A csengő energiahatékony kialakítása biztosítja, hogy hosszú ideig megbízhatóan működjön, miközben az állítható hangerő funkcióval könnyedén szabályozhatja a hangjelzés erősségét.
Miért érdemes a Honeywell Home DC313N csengőt választani?
– Hosszú hatótáv: Az akár 150 méteres jelátvitel nagyobb otthonok vagy irodák számára is ideális. – Felhasználóbarát: Az állítható hangerő, a LED jelzőfény és a többféle dallam könnyedén személyre szabható. – Időtálló kivitel: Az IP55-ös védelem biztosítja a nyomógomb kültéri használhatóságát és hosszú élettartamát. – Kompakt és esztétikus: Modern fehér-szürke színkombináció, amely diszkréten illeszkedik otthonába. – Egyszerű telepítés: Vezeték nélküli kialakítása gyors és könnyű telepítést biztosít.
Tegye otthonát kényelmesebbé és praktikusabbá a Honeywell Home DC313N vezeték nélküli csengővel, és élvezze a megbízhatóság és a stílus tökéletes kombinációját!</t>
        </is>
      </c>
    </row>
    <row r="626">
      <c r="A626" s="3" t="inlineStr">
        <is>
          <t>DB1401DC</t>
        </is>
      </c>
      <c r="B626" s="2" t="inlineStr">
        <is>
          <t>Home DB1401DC vezeték nélküli csengő, 150m hatótáv, IP44 védett nyomógomb, 38 dallam</t>
        </is>
      </c>
      <c r="C626" s="1" t="n">
        <v>7790.0</v>
      </c>
      <c r="D626" s="7" t="n">
        <f>HYPERLINK("https://www.somogyi.hu/product/home-db1401dc-vezetek-nelkuli-csengo-150m-hatotav-ip44-vedett-nyomogomb-38-dallam-db1401dc-18583","https://www.somogyi.hu/product/home-db1401dc-vezetek-nelkuli-csengo-150m-hatotav-ip44-vedett-nyomogomb-38-dallam-db1401dc-18583")</f>
        <v>0.0</v>
      </c>
      <c r="E626" s="7" t="n">
        <f>HYPERLINK("https://www.somogyi.hu/data/img/product_main_images/small/18583.jpg","https://www.somogyi.hu/data/img/product_main_images/small/18583.jpg")</f>
        <v>0.0</v>
      </c>
      <c r="F626" s="2" t="inlineStr">
        <is>
          <t>5999084966010</t>
        </is>
      </c>
      <c r="G626" s="4" t="inlineStr">
        <is>
          <t>Szeretne egy megbízható és esztétikus vezeték nélküli csengőt, amely szinte minden igényét kielégíti? A Home DB1401DC vezeték nélküli csengő ideális választás otthona számára, hiszen kb. 140 méteres hatótávolságával nyílt terepen is megbízhatóan működik. 
A csengő szövet borítása modern és elegáns megjelenést kölcsönöz, amely bármely környezetbe tökéletesen illeszkedik. Az állítható hangerőnek köszönhetően mindig az Ön igényeinek megfelelően szabályozhatja a hangszintet. A készülék 38 változatos és ismert dallammal rendelkezik, melyek többszólamú és kellemes hangzásúak, így minden vendégét kellemesen fogadja. A három választható üzemmód (hang- és fényjelzés, csak fényjelzés, csak hangjelzés) révén a csengő sokoldalúan használható. Az IP44 védettségű nyomógomb biztosítja a tartósságot és az időjárásállóságot, így hosszú távon is megbízhatóan működik.
Az egyedi kódolás tanuló funkcióval a csengő erősen zavarvédett más csengőktől, ami garantálja, hogy csak az Ön csengője szóljon, amikor kell. Akár 8 nyomógomb is párosítható egy csengővel, így több bejárat esetén is használható. A csengő működési frekvenciája 433,92 MHz, amely biztosítja a stabil és megbízható kapcsolatot. A csengő tápellátása 3 darab 1,5V AA elemmel történik (nem tartozék), míg a nyomógomb tápellátása 1 darab 3V CR2032 elemmel biztosított (tartozék).
Ne késlekedjen, válassza a Home DB1401DC vezeték nélküli csengőt, és élvezze a kényelmet és a megbízhatóságot minden nap!</t>
        </is>
      </c>
    </row>
    <row r="627">
      <c r="A627" s="3" t="inlineStr">
        <is>
          <t>DB 1091AC</t>
        </is>
      </c>
      <c r="B627" s="2" t="inlineStr">
        <is>
          <t>Home DB 1091AC vezeték nélküli csengő, 100 m hatótáv, 3 fokozatú hangerő, 36 dallam, 230 V-os tápellátás</t>
        </is>
      </c>
      <c r="C627" s="1" t="n">
        <v>6090.0</v>
      </c>
      <c r="D627" s="7" t="n">
        <f>HYPERLINK("https://www.somogyi.hu/product/home-db-1091ac-vezetek-nelkuli-csengo-100-m-hatotav-3-fokozatu-hangero-36-dallam-230-v-os-tapellatas-db-1091ac-18270","https://www.somogyi.hu/product/home-db-1091ac-vezetek-nelkuli-csengo-100-m-hatotav-3-fokozatu-hangero-36-dallam-230-v-os-tapellatas-db-1091ac-18270")</f>
        <v>0.0</v>
      </c>
      <c r="E627" s="7" t="n">
        <f>HYPERLINK("https://www.somogyi.hu/data/img/product_main_images/small/18270.jpg","https://www.somogyi.hu/data/img/product_main_images/small/18270.jpg")</f>
        <v>0.0</v>
      </c>
      <c r="F627" s="2" t="inlineStr">
        <is>
          <t>5999084962920</t>
        </is>
      </c>
      <c r="G627" s="4" t="inlineStr">
        <is>
          <t>Hogyan választhat olyan vezeték nélküli csengőt, amely garantáltan megbízható és könnyen használható?
A Home DB 1091AC vezeték nélküli csengő kiváló megoldást kínál azok számára, akik modern és kényelmes csengőt keresnek otthonuk vagy irodájuk számára. Az akár 100 méteres hatótávolság biztosítja, hogy a csengő mindig hallható legyen, még akkor is, ha távolabb tartózkodik a bejárattól. A vezeték nélküli kialakítás megkönnyíti a telepítést, így gyorsan és egyszerűen üzembe helyezhető.
Különféle funkciók a személyre szabott használat érdekében
A csengő 36 változatos dallamot kínál, amelyek között biztosan megtalálja az Ön számára legmegfelelőbbet. A dallamok hangereje három fokozatban állítható, így könnyen hozzáigazítható a környezet zajszintjéhez vagy az egyéni igényekhez. A stabil kapcsolatot a 433,92 MHz-es működési frekvencia biztosítja, amely erősen zavarvédett, így más hasonló eszközök nem zavarják meg a működését.
Bővíthető rendszer a maximális rugalmasság érdekében
A Home DB 1091AC csengő rendelkezik tanuló funkcióval, amely lehetővé teszi, hogy egyszerre akár 8 nyomógombot is hozzátanítson egyetlen csengőhöz. Ez különösen hasznos, ha több bejáratot szeretne ellátni egyetlen központi értesítéssel, vagy nagyobb terület lefedésére van szükség.
Egyszerű telepítés és energiatakarékos működés
A nyomógomb tápellátását egy 3V-os CR2032 gombelem biztosítja, amely a csomag része, így azonnal használatba veheti a csengőt. A csengő 230 V-os hálózati tápellátással működik, ami biztosítja a folyamatos és stabil működést, miközben az alacsony, mindössze 0,5 W-os fogyasztás energiatakarékos megoldást jelent.
Letisztult, esztétikus megjelenés
A csengő kompakt kialakításának és elegáns dizájnjának köszönhetően bármilyen környezetbe könnyedén illeszkedik. Legyen szó klasszikus vagy modern stílusú otthonról, ez a csengő mindig diszkrét és esztétikus kiegészítője lesz a bejáratnak.
Miért érdemes a Home DB 1091AC vezeték nélküli csengőt választani?
– Akár 100 méteres hatótávolság, így nagyobb területeken is jól használható 
– 36 különféle dallam és három fokozatban állítható hangerő 
– Stabil és zavarvédett kapcsolat más eszközöktől függetlenül 
– Egyszerre akár 8 nyomógomb is hozzátanítható a bővíthetőség érdekében 
– Gyors telepítés vezeték nélküli nyomógombbal és 230 V-os hálózati csatlakozással 
– Letisztult, modern megjelenés, amely bármilyen környezetben jól mutat
Ne várjon tovább, hogy otthona még kényelmesebb és biztonságosabb legyen! Rendelje meg a Home DB 1091AC vezeték nélküli csengőt, és élvezze a modern technológia nyújtotta előnyöket minden nap!</t>
        </is>
      </c>
    </row>
    <row r="628">
      <c r="A628" s="3" t="inlineStr">
        <is>
          <t>DCP311</t>
        </is>
      </c>
      <c r="B628" s="2" t="inlineStr">
        <is>
          <t>Honeywell Home DCP311 nyomógomb, 200m RF hatótáv, 868mhz, IP55, Honeywell DC csengőkhöz, elem tartozék</t>
        </is>
      </c>
      <c r="C628" s="1" t="n">
        <v>6890.0</v>
      </c>
      <c r="D628" s="7" t="n">
        <f>HYPERLINK("https://www.somogyi.hu/product/honeywell-home-dcp311-nyomogomb-200m-rf-hatotav-868mhz-ip55-honeywell-dc-csengokhoz-elem-tartozek-dcp311-17507","https://www.somogyi.hu/product/honeywell-home-dcp311-nyomogomb-200m-rf-hatotav-868mhz-ip55-honeywell-dc-csengokhoz-elem-tartozek-dcp311-17507")</f>
        <v>0.0</v>
      </c>
      <c r="E628" s="7" t="n">
        <f>HYPERLINK("https://www.somogyi.hu/data/img/product_main_images/small/17507.jpg","https://www.somogyi.hu/data/img/product_main_images/small/17507.jpg")</f>
        <v>0.0</v>
      </c>
      <c r="F628" s="2" t="inlineStr">
        <is>
          <t>5004100965738</t>
        </is>
      </c>
      <c r="G628" s="4" t="inlineStr">
        <is>
          <t>Megbízható, tartós és stílusos nyomógombot keres Honeywell csengőjéhez?
A Honeywell Home DCP311 nyomógomb a tökéletes választás minden Honeywell DC sorozatú vezeték nélküli csengőhöz. Az akár 200 méteres RF hatótávolság, az IP55-ös időjárásálló védelem és a modern technológia garantálja, hogy ez a nyomógomb a hosszú távú megbízhatóságot és a stílusos megjelenést is biztosítja.
Kimagasló teljesítmény és hosszú hatótáv
A nyomógomb 868 MHz-es működési frekvencián üzemel, amely stabil és zavartalan kapcsolatot biztosít a csengő és a nyomógomb között. Az akár 200 méteres hatótávolság nyílt terepen lehetővé teszi, hogy nagyobb otthonok vagy irodák esetében is megbízhatóan működjön.
A kizárólag Honeywell DC kezdetű csengőkkel kompatibilis nyomógomb zökkenőmentes integrációt biztosít, így garantált a precíz működés.
Tartós kialakítás kültéri használatra is
A IP55-ös vízálló védelem gondoskodik arról, hogy a nyomógomb ellenálljon a különböző időjárási viszonyoknak, legyen szó esőről, porról vagy párás környezetről. A kompakt méret (30 x 70 x 16 mm) diszkrét elhelyezést tesz lehetővé, miközben modern, letisztult fehér színével minden otthon bejáratához illeszkedik.
Könnyű telepítés és energiahatékony működés
A nyomógomb tápellátását a tartozék CR2032 elem biztosítja, amely hosszú élettartamot garantál, így a nyomógomb működése mindig megbízható marad. Az egyszerű telepítés lehetővé teszi, hogy bármilyen felületre könnyedén rögzíthető legyen, szakértelem nélkül is.
Miért érdemes a Honeywell Home DCP311 nyomógombot választani?
– Hosszú hatótáv: Az akár 200 méteres RF hatótávolság ideális nagyobb otthonokhoz vagy irodákhoz. – Időtálló kivitel: Az IP55-ös védelem ellenáll az időjárás viszontagságainak, biztosítva a tartósságot. – Egyszerű telepítés: A vezeték nélküli kialakításnak köszönhetően könnyedén üzembe helyezhető. – Kompatibilitás: Kifejezetten Honeywell DC kezdetű csengőkhöz tervezve, garantáltan problémamentesen működik. – Energiatakarékos működés: A CR2032 elem hosszú üzemidőt biztosít, így minimalizálja a karbantartási igényt.
Válassza a Honeywell Home DCP311 nyomógombot, hogy otthonában vagy irodájában a csengője mindig megbízhatóan és stílusosan működjön!</t>
        </is>
      </c>
    </row>
    <row r="629">
      <c r="A629" s="3" t="inlineStr">
        <is>
          <t>DBS 1001DC</t>
        </is>
      </c>
      <c r="B629" s="2" t="inlineStr">
        <is>
          <t>Home DBS 1001DC vezeték nélküli csengőszett, 2 beltéri egység és 1 nyomógomb, 100m hatótáv, többszólamú hang, 8 dallam, elemes tápellátás</t>
        </is>
      </c>
      <c r="C629" s="1" t="n">
        <v>11790.0</v>
      </c>
      <c r="D629" s="7" t="n">
        <f>HYPERLINK("https://www.somogyi.hu/product/home-dbs-1001dc-vezetek-nelkuli-csengoszett-2-belteri-egyseg-es-1-nyomogomb-100m-hatotav-tobbszolamu-hang-8-dallam-elemes-tapellatas-dbs-1001dc-15868","https://www.somogyi.hu/product/home-dbs-1001dc-vezetek-nelkuli-csengoszett-2-belteri-egyseg-es-1-nyomogomb-100m-hatotav-tobbszolamu-hang-8-dallam-elemes-tapellatas-dbs-1001dc-15868")</f>
        <v>0.0</v>
      </c>
      <c r="E629" s="7" t="n">
        <f>HYPERLINK("https://www.somogyi.hu/data/img/product_main_images/small/15868.jpg","https://www.somogyi.hu/data/img/product_main_images/small/15868.jpg")</f>
        <v>0.0</v>
      </c>
      <c r="F629" s="2" t="inlineStr">
        <is>
          <t>5999084939021</t>
        </is>
      </c>
      <c r="G629" s="4" t="inlineStr">
        <is>
          <t>Egy sokoldalú és praktikus vezeték nélküli csengőt keres, amely minden igénynek megfelel? A Home DBS 1001DC vezeték nélküli csengőszett két beltéri egységgel és egy nyomógombbal kínál kényelmes és megbízható megoldást otthonok, irodák vagy akár személyhívóként való használatra. Modern funkciói, mint a többszólamú hangzás, villogó fényjelzés és egyedi kódolás, garantálják, hogy ez a csengőszett minden környezetben tökéletesen teljesít.
Sokoldalú funkciók minden helyzetre
A csomagban található 2 beltéri egység és 1 nyomógomb lehetővé teszi, hogy több helyiségben is hallható legyen a csengőhang. Az akár 100 méteres hatótávolság nyílt terepen biztosítja, hogy nagyobb épületekben is zavartalanul működjön. A rendszer 8 különböző dallamot kínál, amelyek között mindenki megtalálja a számára legmegfelelőbbet, ráadásul a többszólamú hangzás kellemes hallgatási élményt nyújt.
Modern technológia és praktikus kiegészítők
Az egyedi kódolású tanuló funkcióval a készülék erősen zavarvédett más vezeték nélküli eszközöktől, így biztosítva a megbízható működést. Az IP44-es vízállóságú nyomógomb kültéri használatra is ideális, még kedvezőtlen időjárási körülmények között is. A villogó kék fényjelzés csengetéskor nemcsak esztétikus, de hasznos kiegészítő is zajos környezetben vagy hallássérült felhasználók számára.
Egyszerű bővíthetőség és kényelmes használat
A rendszerhez maximum 4 nyomógomb csatlakoztatható, így egyetlen csengővel több ajtó vagy bejárat is kezelhető. A beltéri egységek övcsipesszel is rendelkeznek, így akár személyhívóként is használhatók. A csengők és a nyomógomb könnyen párosíthatók a tanuló funkció segítségével.
Kiváló energiahatékonyság és egyszerű telepítés
A beltéri egységek 2 x AA elemmel működnek (nem tartozék), míg a nyomógombhoz tartozó CR2032 elem a csomag részét képezi. A könnyen felszerelhető és használható rendszer minimalista kialakítása bármilyen környezetben remekül mutat.
Miért érdemes a Home DBS 1001DC vezeték nélküli csengőszettet választani?
- Több helyiség lefedése: Két beltéri egységgel nagyobb területen is biztosítható a hangjelzés.
- Zajvédett technológia: Egyedi kódolás és zavarvédettség a zavartalan működésért.
- Sokoldalú felhasználhatóság: Otthon, irodában vagy akár személyhívóként is tökéletes.
- Időtálló kivitel: Vízálló nyomógomb és strapabíró kialakítás minden körülményhez.
- Egyszerű bővíthetőség: Több nyomógomb csatlakoztatásával rugalmas megoldást kínál.
Tegye otthonát vagy irodáját még kényelmesebbé ezzel a modern és praktikus csengőszettel, amely minden részletében a felhasználói igényeket helyezi előtérbe!</t>
        </is>
      </c>
    </row>
    <row r="630">
      <c r="A630" s="3" t="inlineStr">
        <is>
          <t>DCP711</t>
        </is>
      </c>
      <c r="B630" s="2" t="inlineStr">
        <is>
          <t>Honeywell Home DCP711 nyomógomb, 200m RF hatótáv, 868mhz, IP55, Honeywell DC csengőkhöz, elem tartozék</t>
        </is>
      </c>
      <c r="C630" s="1" t="n">
        <v>6890.0</v>
      </c>
      <c r="D630" s="7" t="n">
        <f>HYPERLINK("https://www.somogyi.hu/product/honeywell-home-dcp711-nyomogomb-200m-rf-hatotav-868mhz-ip55-honeywell-dc-csengokhoz-elem-tartozek-dcp711-17506","https://www.somogyi.hu/product/honeywell-home-dcp711-nyomogomb-200m-rf-hatotav-868mhz-ip55-honeywell-dc-csengokhoz-elem-tartozek-dcp711-17506")</f>
        <v>0.0</v>
      </c>
      <c r="E630" s="7" t="n">
        <f>HYPERLINK("https://www.somogyi.hu/data/img/product_main_images/small/17506.jpg","https://www.somogyi.hu/data/img/product_main_images/small/17506.jpg")</f>
        <v>0.0</v>
      </c>
      <c r="F630" s="2" t="inlineStr">
        <is>
          <t>5004100967831</t>
        </is>
      </c>
      <c r="G630" s="4" t="inlineStr">
        <is>
          <t>Hogyan teheti otthoni csengőjét még megbízhatóbbá és hatékonyabbá?
A Honeywell Home DCP711 nyomógomb tökéletes kiegészítője minden Honeywell DC kezdetű vezeték nélküli csengőnek, biztosítva a gyors és stabil működést akár 200 méteres hatótávolságig. Modern kialakításával és IP55 védettségével nemcsak esztétikus, hanem rendkívül strapabíró is, így kültéren és beltéren egyaránt kiválóan használható.
Erős és stabil rádiófrekvenciás kapcsolat
A 868 MHz-es működési frekvencia biztosítja a zavartalan jelátvitelt, így a csengő gyorsan és megbízhatóan reagál minden egyes nyomásra. 200 méteres RF hatótávolságának köszönhetően a nyomógomb nagyobb ingatlanokhoz vagy hosszabb távolságokhoz is ideális választás, így Ön mindig időben értesülhet a látogatók érkezéséről.
Időjárásálló kivitel kültéri használatra
A Honeywell Home DCP711 nyomógomb IP55 védettséggel rendelkezik, amely ellenáll az időjárás viszontagságainak, így esőben, hóban vagy poros környezetben is megbízhatóan működik. Ez különösen fontos, ha a csengőt kültéren, például kapubejárónál vagy ajtón kívül szeretné elhelyezni.
Kompakt és esztétikus dizájn
A mindössze 42 x 42 x 18,5 mm méretű nyomógomb letisztult és modern megjelenést kapott, így harmonikusan illeszkedik bármilyen környezetbe. Kis mérete ellenére könnyen észlelhető, így a látogatók egyértelműen azonosíthatják a csengőgomb helyét.
Egyszerű telepítés és hosszú élettartam
A nyomógomb CR2032 típusú elemmel működik, amely a csomag része, így azonnal használatba vehető. Az alacsony energiafogyasztású kialakításnak köszönhetően az elem hosszú ideig biztosítja a megbízható működést, így nem kell gyakran cserélni.
Miért érdemes a Honeywell Home DCP711 nyomógombot választani?
- Kompatibilis minden Honeywell DC kezdetű csengővel
- Akár 200 méteres rádiófrekvenciás hatótáv a zavartalan működés érdekében
- IP55 időjárásálló védelem, kültéri használatra is tökéletes
- 868 MHz-es stabil jelátvitel a gyors reakcióért
- Kompakt, modern kialakítás az esztétikus megjelenésért
- Tartozék CR2032 elem, így azonnal üzembe helyezhető
Ne hagyja, hogy látogatói észrevétlenül érkezzenek! A Honeywell Home DCP711 nyomógomb garantálja a megbízható csengőkapcsolatot, így Ön mindig időben értesülhet vendégeiről!</t>
        </is>
      </c>
    </row>
    <row r="631">
      <c r="A631" s="3" t="inlineStr">
        <is>
          <t>DBK 1500AC</t>
        </is>
      </c>
      <c r="B631" s="2" t="inlineStr">
        <is>
          <t>Home DBK 1500AC vezeték nélküli csengő, elem nélküli, 150m hatótáv, 36 dallam, 4 fokozatú hangerő, fényjelzés, kinetikus nyomógomb, 230V-os tápellátás</t>
        </is>
      </c>
      <c r="C631" s="1" t="n">
        <v>11890.0</v>
      </c>
      <c r="D631" s="7" t="n">
        <f>HYPERLINK("https://www.somogyi.hu/product/home-dbk-1500ac-vezetek-nelkuli-csengo-elem-nelkuli-150m-hatotav-36-dallam-4-fokozatu-hangero-fenyjelzes-kinetikus-nyomogomb-230v-os-tapellatas-dbk-1500ac-16434","https://www.somogyi.hu/product/home-dbk-1500ac-vezetek-nelkuli-csengo-elem-nelkuli-150m-hatotav-36-dallam-4-fokozatu-hangero-fenyjelzes-kinetikus-nyomogomb-230v-os-tapellatas-dbk-1500ac-16434")</f>
        <v>0.0</v>
      </c>
      <c r="E631" s="7" t="n">
        <f>HYPERLINK("https://www.somogyi.hu/data/img/product_main_images/small/16434.jpg","https://www.somogyi.hu/data/img/product_main_images/small/16434.jpg")</f>
        <v>0.0</v>
      </c>
      <c r="F631" s="2" t="inlineStr">
        <is>
          <t>5999084944667</t>
        </is>
      </c>
      <c r="G631" s="4" t="inlineStr">
        <is>
          <t>Hogyan varázsolhatja otthonát modern és fenntartható figyelmeztetőrendszerrel? A Home DBK 1500AC vezeték nélküli csengő tökéletes választás azok számára, akik hosszú távon fenntartható és megbízható megoldást keresnek. Az elem nélküli működés, a 150 méteres hatótáv és a változatos funkciók egyedi élményt nyújtanak, miközben környezetbarát technológiát kínálnak.
Elem nélküli innováció a fenntarthatóság jegyében
A Home DBK 1500AC csengő egyik legkiemelkedőbb tulajdonsága, hogy soha nem igényel elemet. A kinetikus nyomógomb a működéshez szükséges energiát saját mozgásából generálja, ami egyszerre kényelmes és környezetkímélő megoldás. A technológia garantálja a megbízható működést hideg időjárási körülmények között is.
Kiváló hatótáv és zavarvédelem
A készülék akár 150 méteres hatótávolsággal működik nyílt terepen, ami ideális választássá teszi nagyobb otthonok vagy irodák számára. A 433,9 MHz-es működési frekvencia és az egyedi kódolás megakadályozza, hogy más csengők interferáljanak, biztosítva a zavartalan működést.
Személyre szabható hangélmény
A csengő 36 változatos dallamot kínál, amelyek között mindenki megtalálhatja a stílusához illőt. A többszólamú, kellemes hangzás gondoskodik a kifinomult figyelmeztető jelzésekről, míg a hangerő 4+1 fokozatban állítható. Szükség esetén a készülék néma üzemmódra is kapcsolható, amely csak fényjelzéssel figyelmeztet.
Modern fényjelzés és vizuális megoldások
A készülék fényjelzése különösen hasznos lehet halláskárosult felhasználók számára vagy olyan helyzetekben, ahol a csengetés hangos figyelmeztetése nem megfelelő. A villogó fény minden érkező látogatót hatékonyan jelez.
Egyszerű telepítés és alacsony energiafogyasztás
A csengő 230 V~ / 50 Hz hálózati tápellátással működik, mindössze minimális energiafelhasználással, így hosszú távon is gazdaságos megoldás. A nyomógomb kinetikus energiával működik, így nem igényel karbantartást vagy elemcserét.
Kompakt méretek és diszkrét elhelyezés
A csengő kis mérete 80 x 75 x 25 mm, míg a nyomógomb 84 x 50 x 18 mm, így bármilyen környezetben diszkréten elhelyezhető, anélkül hogy elrontaná az otthon esztétikáját.
Miért érdemes a Home DBK 1500AC csengőt választani?
Ez a készülék tökéletes egyensúlyt kínál a modern technológia, a fenntarthatóság és a praktikum között. Az elem nélküli működés, a személyre szabható hangzás, valamint a fényjelzések egyaránt az Ön kényelmét és biztonságát szolgálják.
Hozzon létre egy intelligens és környezetbarát figyelmeztetőrendszert a Home DBK 1500AC vezeték nélküli csengővel, amely a fenntarthatóság és a modern design találkozása!</t>
        </is>
      </c>
    </row>
    <row r="632">
      <c r="A632" s="3" t="inlineStr">
        <is>
          <t>DC313NP2</t>
        </is>
      </c>
      <c r="B632" s="2" t="inlineStr">
        <is>
          <t>Honeywell Home DC313NP2 vezeték nélküli csengő, 150m hatótáv, 6 dallam, LED jelzőfény, nyomógomb IP55 védett, 230V-os tápellátás</t>
        </is>
      </c>
      <c r="C632" s="1" t="n">
        <v>23790.0</v>
      </c>
      <c r="D632" s="7" t="n">
        <f>HYPERLINK("https://www.somogyi.hu/product/honeywell-home-dc313np2-vezetek-nelkuli-csengo-150m-hatotav-6-dallam-led-jelzofeny-nyomogomb-ip55-vedett-230v-os-tapellatas-dc313np2-17295","https://www.somogyi.hu/product/honeywell-home-dc313np2-vezetek-nelkuli-csengo-150m-hatotav-6-dallam-led-jelzofeny-nyomogomb-ip55-vedett-230v-os-tapellatas-dc313np2-17295")</f>
        <v>0.0</v>
      </c>
      <c r="E632" s="7" t="n">
        <f>HYPERLINK("https://www.somogyi.hu/data/img/product_main_images/small/17295.jpg","https://www.somogyi.hu/data/img/product_main_images/small/17295.jpg")</f>
        <v>0.0</v>
      </c>
      <c r="F632" s="2" t="inlineStr">
        <is>
          <t>5004100965448</t>
        </is>
      </c>
      <c r="G632" s="4" t="inlineStr">
        <is>
          <t>Szeretne olyan csengőt, amely modern technológiával és letisztult dizájnnal teszi kényelmesebbé az otthonát? A Honeywell Home DC313NP2 vezeték nélküli csengő kiváló választás mindazoknak, akik praktikus és megbízható megoldást keresnek otthonuk vagy irodájuk számára. Az akár 150 méteres hatótávolság, a 6 kellemes dallam, valamint a csengetést kísérő LED jelzőfény garantálja, hogy soha nem marad le a látogatók érkezéséről.
Kiemelkedő teljesítmény és dizájn egyben
A Honeywell DC313NP2 vezeték nélküli csengő modern funkcióival és egyszerű telepítésével azonnal használatra kész. A maximálisan 84 dB hangerő biztosítja, hogy a hangjelzés jól hallható legyen, míg a LED fényjelzés vizuális segítséget nyújt. A hangerő szabályozható, így könnyedén az igényeihez igazítható.
A 6 különböző dallam lehetőséget nyújt arra, hogy személyre szabja a csengő hangját, így mindig öröm lesz meghallani az érkező látogatókat. A készülék praktikus 868 MHz-es frekvencián működik, amely megbízható kapcsolatot biztosít a csengő és a nyomógomb között.
Kültéri használatra tervezve
A csomaghoz tartozó nyomógomb IP55 védettséggel rendelkezik, amely biztosítja a megbízható működést esőben és poros környezetben is. Az elemes működés (1 x CR2032, tartozék) kényelmes üzemeltetést tesz lehetővé, és hosszú élettartamot garantál. A kompakt méretű nyomógomb könnyedén rögzíthető és szinte bárhová elhelyezhető.
Egyszerű telepítés és elegáns megjelenés
A beltéri egység 230 V-os tápellátással működik, és modern, fehér-szürke dizájnjával harmonikusan illeszkedik bármilyen enteriőrbe. Az állítható fény- és hangjelzés funkciók maximális rugalmasságot biztosítanak, így a csengő nemcsak hasznos, de stílusos kiegészítője lesz otthonának.
Miért érdemes a Honeywell Home DC313NP2 csengőt választani?
* Praktikus: 150 méteres hatótávolságának köszönhetően ideális kisebb és nagyobb otthonokhoz egyaránt.
* Tartós: Az IP55-ös védelem biztosítja a nyomógomb kültéri használhatóságát.
* Felhasználóbarát: A hang- és fényjelzések testreszabhatók, a beállítások pedig egyszerűek és intuitívak.
* Esztétikus: Letisztult formatervezésével bármilyen környezetbe könnyedén beilleszthető.
Hozzon létre egy megbízható és kényelmes értesítési rendszert otthonában vagy irodájában a Honeywell Home DC313NP2 vezeték nélküli csengővel! Vásárolja meg most, és élvezze a modern technológia nyújtotta előnyöket!</t>
        </is>
      </c>
    </row>
    <row r="633">
      <c r="A633" s="3" t="inlineStr">
        <is>
          <t>DB 2050AC</t>
        </is>
      </c>
      <c r="B633" s="2" t="inlineStr">
        <is>
          <t>Home DB 2050AC vezeték nélküli csengő, 230V, 200 m hatótáv, 36 dallam, 5 fokozatú hangerő, fényjelzés</t>
        </is>
      </c>
      <c r="C633" s="1" t="n">
        <v>8290.0</v>
      </c>
      <c r="D633" s="7" t="n">
        <f>HYPERLINK("https://www.somogyi.hu/product/home-db-2050ac-vezetek-nelkuli-csengo-230v-200-m-hatotav-36-dallam-5-fokozatu-hangero-fenyjelzes-db-2050ac-16113","https://www.somogyi.hu/product/home-db-2050ac-vezetek-nelkuli-csengo-230v-200-m-hatotav-36-dallam-5-fokozatu-hangero-fenyjelzes-db-2050ac-16113")</f>
        <v>0.0</v>
      </c>
      <c r="E633" s="7" t="n">
        <f>HYPERLINK("https://www.somogyi.hu/data/img/product_main_images/small/16113.jpg","https://www.somogyi.hu/data/img/product_main_images/small/16113.jpg")</f>
        <v>0.0</v>
      </c>
      <c r="F633" s="2" t="inlineStr">
        <is>
          <t>5999084941451</t>
        </is>
      </c>
      <c r="G633" s="4" t="inlineStr">
        <is>
          <t>Szeretné, ha otthona csengője modern és megbízható lenne, amely bármilyen környezetben tökéletesen működik?
A Home DB 2050AC vezeték nélküli csengő ideális választás mindazoknak, akik egyszerű, de igényes megoldást keresnek. A kiemelkedő, 200 méteres hatótávolság, a 36 kiválasztható dallam, valamint a villogó fényjelzés gondoskodik arról, hogy mindig észlelje látogatói érkezését – akár nagyobb otthonok esetében is.
Korszerű technológia, megbízható teljesítmény
A Home DB 2050AC csengő nemcsak jól működik, hanem stílusosan egészíti ki otthonát. Az 5 fokozatban állítható hangerő lehetővé teszi, hogy a hangot az aktuális körülményekhez igazítsa, míg a kék LED visszajelző figyelmeztet az elem állapotára. A 36 dallam választékával biztosan megtalálja a kedvenc hangját, amely kellemesen illeszkedik otthonához.
Kültéri nyomógomb IP44 védelemmel
Az eszköz tartozék nyomógombja IP44-es védelemmel ellátott, így ellenáll az időjárás viszontagságainak. Elemről működik (LR23A, tartozék), ezért egyszerűen telepíthető és üzemeltethető. Az egyedileg előre kódolt működés biztosítja, hogy zavarmentesen használhassa, és ne keveredjen más vezeték nélküli csengőkkel.
Elegáns és praktikus beltéri egység
A beltéri egység 230 V-os tápellátással rendelkezik, így nem szükséges elemekkel bajlódnia. Kompakt méretének köszönhetően könnyedén elhelyezhető bárhol, ahol szükség van rá. A villogó fényjelzés nemcsak esztétikus, de funkcionális is, hiszen néma üzemmódban is észlelhető a csengetés.
Miért válassza a Home DB 2050AC csengőt?
Nagy hatótávolság: A 200 méteres hatótáv garantálja, hogy bárhol a házban értesüljön a látogatókról.
Könnyen személyre szabható: A 36 dallam és az állítható hangerő révén a csengő hangzásvilágát az Ön igényeihez igazíthatja.
Időjárásálló kivitel: Az IP44-es védelem biztosítja a nyomógomb megbízható kültéri használatát.
Energiatakarékos: A 230 V-os beltéri egység stabil tápellátást biztosít, az elemállapot-kijelzés pedig előre figyelmeztet a szükséges elemcserére.
Tegye kényelmesebbé otthonát ezzel a modern és funkcionális csengővel! Vásárolja meg a Home DB 2050AC vezeték nélküli csengőt, és élvezze a letisztult dizájnt és a megbízható működést minden nap!</t>
        </is>
      </c>
    </row>
    <row r="634">
      <c r="A634" s="3" t="inlineStr">
        <is>
          <t>DB 1001DC</t>
        </is>
      </c>
      <c r="B634" s="2" t="inlineStr">
        <is>
          <t>Home DB 1001DC vezeték nélküli csengő, 100m hatótáv, 8 dallam, kék fényjelzés, 256 digitális kód, elemes kivitel, IP 44 védett nyomógomb</t>
        </is>
      </c>
      <c r="C634" s="1" t="n">
        <v>8090.0</v>
      </c>
      <c r="D634" s="7" t="n">
        <f>HYPERLINK("https://www.somogyi.hu/product/home-db-1001dc-vezetek-nelkuli-csengo-100m-hatotav-8-dallam-kek-fenyjelzes-256-digitalis-kod-elemes-kivitel-ip-44-vedett-nyomogomb-db-1001dc-15867","https://www.somogyi.hu/product/home-db-1001dc-vezetek-nelkuli-csengo-100m-hatotav-8-dallam-kek-fenyjelzes-256-digitalis-kod-elemes-kivitel-ip-44-vedett-nyomogomb-db-1001dc-15867")</f>
        <v>0.0</v>
      </c>
      <c r="E634" s="7" t="n">
        <f>HYPERLINK("https://www.somogyi.hu/data/img/product_main_images/small/15867.jpg","https://www.somogyi.hu/data/img/product_main_images/small/15867.jpg")</f>
        <v>0.0</v>
      </c>
      <c r="F634" s="2" t="inlineStr">
        <is>
          <t>5999084939014</t>
        </is>
      </c>
      <c r="G634" s="4" t="inlineStr">
        <is>
          <t>Hogyan teremthet egyszerre praktikus és stílusos megoldást otthona vagy irodája számára? A Home DB 1001DC vezeték nélküli csengő modern technológiával, megbízható működéssel és elegáns fényjelzéssel kínál kényelmet és biztonságot. Az akár 100 méteres hatótáv, a többfunkciós kialakítás és a különleges kék fényjelzés révén ez a csengő ideális választás bármilyen környezetbe.
Hosszú hatótáv és zavartalan működés
Ez a vezeték nélküli csengő akár 100 méteres hatótávolsággal is működik nyílt terepen, így nagyobb otthonokban és irodákban is megbízhatóan használható. A 433,92 MHz-es működési frekvencia és a 256 digitális kód gondoskodik arról, hogy más eszközök jelei ne zavarják a működést, garantálva a zavartalan használatot.
Változatos dallamok és személyre szabhatóság
A készülék 8 különböző dallamot kínál, amelyeket az Ön igényeihez igazíthat. A többszólamú, kellemes hangzás biztosítja, hogy a csengő hangja jól hallható és egyben kellemes legyen. Ezen kívül személyhívóként is használható, megkönnyítve a kommunikációt a házon belül.
Kék fényjelzés és IP44 védelem
A csengő hangjelzése mellett villogó kék fényjelzés is értesíti Önt a látogatóról. Ez különösen hasznos lehet hallássérültek számára vagy zajos környezetben. Az IP44-es védelemmel ellátott nyomógomb ellenáll az időjárás viszontagságainak, így kültéri használatra is alkalmas.
Egyszerű telepítés és energiatakarékos működés
A csengő működtetéséhez 2 darab AA elem szükséges (nem tartozék), míg a nyomógomb 1 darab CR2032 gombelemmel üzemel, amely a csomag része. A tanuló funkció segítségével egyszerűen párosítható a két egység, így percek alatt üzembe helyezhető.
Kompakt és esztétikus kialakítás
A Home DB 1001DC vezeték nélküli csengő letisztult és modern formatervezése lehetővé teszi, hogy bármilyen környezetben elegánsan mutasson. Kompakt méreteinek köszönhetően diszkréten elhelyezhető anélkül, hogy feltűnő lenne.
Miért érdemes a Home DB 1001DC csengőt választania?
Ez a készülék tökéletes megoldást kínál mindazok számára, akik praktikus, megbízható és modern csengőt keresnek. A hosszú hatótáv, az egyedi funkciók és a kiváló minőség együttesen biztosítják a maximális kényelmet és elégedettséget.
Hozzon stílust és funkcionalitást otthonába vagy irodájába a Home DB 1001DC vezeték nélküli csengővel, amely a modern technológia és az esztétikus design tökéletes kombinációját nyújtja!</t>
        </is>
      </c>
    </row>
    <row r="635">
      <c r="A635" s="3" t="inlineStr">
        <is>
          <t>DC315SCVL</t>
        </is>
      </c>
      <c r="B635" s="2" t="inlineStr">
        <is>
          <t>Honeywell Home DC315SCVL vezeték nélküli csengő, vezetékes - vezeték nélküli átlakítóval, 150m hatótáv, 6 dallam, időzíthető némítás, LED jelzőfény, állítható hangerő, elemes tápellátás</t>
        </is>
      </c>
      <c r="C635" s="1" t="n">
        <v>13690.0</v>
      </c>
      <c r="D635" s="7" t="n">
        <f>HYPERLINK("https://www.somogyi.hu/product/honeywell-home-dc315scvl-vezetek-nelkuli-csengo-vezetekes-vezetek-nelkuli-atlakitoval-150m-hatotav-6-dallam-idozitheto-nemitas-led-jelzofeny-allithato-hangero-elemes-tapellatas-dc315scvl-19265","https://www.somogyi.hu/product/honeywell-home-dc315scvl-vezetek-nelkuli-csengo-vezetekes-vezetek-nelkuli-atlakitoval-150m-hatotav-6-dallam-idozitheto-nemitas-led-jelzofeny-allithato-hangero-elemes-tapellatas-dc315scvl-19265")</f>
        <v>0.0</v>
      </c>
      <c r="E635" s="7" t="n">
        <f>HYPERLINK("https://www.somogyi.hu/data/img/product_main_images/small/19265.jpg","https://www.somogyi.hu/data/img/product_main_images/small/19265.jpg")</f>
        <v>0.0</v>
      </c>
      <c r="F635" s="2" t="inlineStr">
        <is>
          <t>5004100969941</t>
        </is>
      </c>
      <c r="G635" s="4" t="inlineStr">
        <is>
          <t>Van már vezetékes csengője, de modernizálná anélkül, hogy falat bontana? 
A Honeywell Home DC315SCVL vezeték nélküli csengő tökéletes megoldás, ha szeretné meglévő vezetékes rendszerét vezeték nélkülivé alakítani – ráadásul korszerű funkciókkal, kiváló hatótávolsággal és személyre szabható beállításokkal kiegészítve.
Egy csengő, amely alkalmazkodik Önhöz
Ez az intelligens csengő egy vezetékes-vezeték nélküli átalakító adapterrel érkezik, így meglévő vezetékes nyomógombbal is kompatibilis, miközben egy vezeték nélküli nyomógombot is tartalmaz a csomag. A csengő maximális hatótávolsága 150 méter, míg a nyomógomb akár 200 méterről is működik, így nagyobb épületekben, több szintes lakásokban is tökéletesen alkalmazható.
Csend, ha szükséges – hang, amikor kell
A csengő 6 különböző dallammal és állítható hangerővel (maximum 84 dB) gondoskodik a megfelelő hangzásról, amely akár 80 méterről is hallható. Egyedülálló tulajdonsága az időzíthető alvó/némítás üzemmód, amely 3, 6, 9 vagy 12 órás időtartamra, illetve határozatlan időre is aktiválható – ideális kisgyermekes háztartásokba, pihenőidőre vagy éjszakára.
Látványos és hasznos fényjelzés
A készülék 7 színben választható LED keretvilágítással és villogó fényjelzéssel jelzi a csengetést, így nem csak hallható, hanem jól látható is a hívás – különösen hasznos hallássérültek számára, vagy zajos környezetben.
Stabil kapcsolat, praktikus kialakítás
A csengő és a nyomógomb 868 MHz-es frekvencián kommunikálnak, biztosítva a zavartalan, megbízható működést. A nyomógomb IP55 védettségű, így kültéren is biztonságosan alkalmazható, ellenáll az esőnek és pornak. A rendszer egyszerre akár 4 vezeték nélküli nyomógombot is kezelni tud, így akár több bejárat is ellátható egyetlen beltéri egységgel.
Működtetés és méretek
- Beltéri egység tápellátása: 4 × 1,5 V AA (LR6) – nem tartozék
- Nyomógomb tápellátása: 1 × 3 V CR2032 – tartozék
- Beltéri egység mérete: 70 × 110 × 42,5 mm
- Nyomógomb mérete: 30 × 70 × 16 mm
Miért érdemes a Honeywell Home DC315SCVL csengőt választani?
- Kompatibilis meglévő vezetékes nyomógombbal is
- Tartalmaz vezeték nélküli nyomógombot és átalakító adaptert
- Akár 4 nyomógomb kezelése egy eszközzel
- Hangos, de időzíthetően elnémítható
- Látványos LED világítás 7 színben
- Esztétikus és könnyen telepíthető megoldás
Modernizálja otthona csengőrendszerét fúrás, vésés vagy kompromisszumok nélkül! A Honeywell Home DC315SCVL intelligens választás azok számára, akik megbízható, sokoldalú és esztétikus vezeték nélküli csengőt keresnek – most még egyszerűbben, akár meglévő rendszerrel is.</t>
        </is>
      </c>
    </row>
    <row r="636">
      <c r="A636" s="3" t="inlineStr">
        <is>
          <t>DB 1601DC</t>
        </is>
      </c>
      <c r="B636" s="2" t="inlineStr">
        <is>
          <t>Home DB 1601DC vezeték nélküli csengő, 160m hatótáv, 60 dallam, 3-fokozatú hangerő és némítás, kapcsolható fényjelzés, elemes tápellátás</t>
        </is>
      </c>
      <c r="C636" s="1" t="n">
        <v>5190.0</v>
      </c>
      <c r="D636" s="7" t="n">
        <f>HYPERLINK("https://www.somogyi.hu/product/home-db-1601dc-vezetek-nelkuli-csengo-160m-hatotav-60-dallam-3-fokozatu-hangero-es-nemitas-kapcsolhato-fenyjelzes-elemes-tapellatas-db-1601dc-18251","https://www.somogyi.hu/product/home-db-1601dc-vezetek-nelkuli-csengo-160m-hatotav-60-dallam-3-fokozatu-hangero-es-nemitas-kapcsolhato-fenyjelzes-elemes-tapellatas-db-1601dc-18251")</f>
        <v>0.0</v>
      </c>
      <c r="E636" s="7" t="n">
        <f>HYPERLINK("https://www.somogyi.hu/data/img/product_main_images/small/18251.jpg","https://www.somogyi.hu/data/img/product_main_images/small/18251.jpg")</f>
        <v>0.0</v>
      </c>
      <c r="F636" s="2" t="inlineStr">
        <is>
          <t>5999084962739</t>
        </is>
      </c>
      <c r="G636" s="4" t="inlineStr">
        <is>
          <t>Hogyan válasszon olyan csengőt, amely stílusos, praktikus és minden környezetben megbízhatóan működik? A Home DB 1601DC vezeték nélküli csengő nemcsak kiváló technikai tulajdonságokkal rendelkezik, hanem elegáns megjelenésével és sokoldalú funkcióival minden igényt kielégít. A 160 méteres hatótávolság, a 60 különböző dallam és az állítható hangerő minden otthonban tökéletes megoldást nyújt.
Hosszú hatótávolság és zavartalan kapcsolat
A csengő 160 méteres hatótávolsága nyílt terepen garantálja, hogy nagyobb lakásokban vagy irodákban is gond nélkül használható. A 433,92 MHz-es működési frekvencia és az egyedi kódolás biztosítja, hogy ne zavarja meg más vezeték nélküli eszközök működése.
Széles dallamválaszték és kellemes hangzás
A Home DB 1601DC csengő 60 változatos, klasszikus dallammal rendelkezik, melyek között mindenki megtalálhatja a számára legmegfelelőbbet. A többszólamú hangzás kifinomult zenei élményt nyújt, miközben a hangerő három fokozatban állítható. Emellett a készülék némítási funkcióval is rendelkezik, így diszkrét környezetben is használható.
Kapcsolható fényjelzés és modern dizájn
A csengetést kapcsolható fényjelzés is kíséri, amely különösen hasznos lehet zajos környezetben vagy hallássérült felhasználók számára. A csengő minimalista kialakítása és kompakt méretei (80,6 x 80,2 x 32,8 mm) bármilyen enteriőrbe könnyedén illeszkednek.
Energiatakarékos és időjárásálló kivitel
A csengő elemes tápellátású, a nyomógombhoz tartozó CR2032 elem pedig a csomag része. A nyomógomb IP44-es vízállósága biztosítja, hogy kültéren is megbízhatóan használható legyen, bármilyen időjárási körülmények között.
Miért válassza a Home DB 1601DC vezeték nélküli csengőt?
- Hosszú hatótávolság: Akár 160 méter nyílt terepen, zavartalan működés.
- Sokoldalúság: 60 dallam és állítható hangerő különféle környezetekhez igazodva.
- Praktikus fényjelzés: Kapcsolható LED fény a maximális funkcionalitásért.
- Időtálló kivitel: IP44-es vízállóság és modern kialakítás kültéri és beltéri használatra.
Frissítse otthona vagy irodája csengőrendszerét a Home DB 1601DC vezeték nélküli csengővel, amely a technológia és a dizájn tökéletes kombinációját kínálja!</t>
        </is>
      </c>
    </row>
    <row r="637">
      <c r="A637" s="3" t="inlineStr">
        <is>
          <t>DBP 03</t>
        </is>
      </c>
      <c r="B637" s="2" t="inlineStr">
        <is>
          <t>Home DBP 03 nyomógomb vezeték nélküli csengőhöz, pótláshoz vagy bővítéshez, 200m hatótáv, IP44 védettség, Home vezeték nélküli csengőkhöz</t>
        </is>
      </c>
      <c r="C637" s="1" t="n">
        <v>3990.0</v>
      </c>
      <c r="D637" s="7" t="n">
        <f>HYPERLINK("https://www.somogyi.hu/product/home-dbp-03-nyomogomb-vezetek-nelkuli-csengohoz-potlashoz-vagy-boviteshez-200m-hatotav-ip44-vedettseg-home-vezetek-nelkuli-csengokhoz-dbp-03-16380","https://www.somogyi.hu/product/home-dbp-03-nyomogomb-vezetek-nelkuli-csengohoz-potlashoz-vagy-boviteshez-200m-hatotav-ip44-vedettseg-home-vezetek-nelkuli-csengokhoz-dbp-03-16380")</f>
        <v>0.0</v>
      </c>
      <c r="E637" s="7" t="n">
        <f>HYPERLINK("https://www.somogyi.hu/data/img/product_main_images/small/16380.jpg","https://www.somogyi.hu/data/img/product_main_images/small/16380.jpg")</f>
        <v>0.0</v>
      </c>
      <c r="F637" s="2" t="inlineStr">
        <is>
          <t>5999084944124</t>
        </is>
      </c>
      <c r="G637" s="4" t="inlineStr">
        <is>
          <t>Elveszett, elromlott nyomógombot szeretne pótolni, vagy bővíteni szeretné meglévő csengőrendszerét?
A Home DBP 03 vezeték nélküli nyomógomb tökéletes megoldást nyújt, legyen szó sérült vagy hiányzó gombok cseréjéről, vagy akár több bejárat lefedéséről. Az akár 200 méteres hatótávolság, az IP44-es védelem és a modern technológia garantálja, hogy ez a nyomógomb a Home vezeték nélküli csengőivel zökkenőmentesen működik.
Sokoldalúság és megbízhatóság
A Home DBP 03 nyomógomb 433,9 MHz-es frekvencián működik, amely stabil és zavartalan kapcsolatot biztosít. A 256 különböző digitális kód garantálja, hogy nincs összecsengés más rendszerekkel, így biztos lehet benne, hogy a gomb mindig pontosan a saját csengőjével kommunikál.
Ez a modell kompatibilis több Home csengőmodellel (DB 108, DB 118, DB 128, DB 208, DB 218, DB 228, DB 268, DB 442, DBS 1001DC, DB 1001DC, DB 1002AC, DB 1501AC, DB 1502DC, DB 1503AC) így tökéletes választás cseréhez vagy rendszerbővítéshez.
Tartós kialakítás kültéri használatra is
A IP44-es vízálló védelem gondoskodik a megbízható működésről eső, hó vagy poros környezet esetén is, így a nyomógombot bátran felszerelheti kültéren is. A kompakt méret (27 x 76 x 16 mm) lehetővé teszi, hogy szinte bárhol elhelyezhető legyen, miközben modern megjelenése diszkréten illeszkedik otthonának stílusába.
Egyszerű telepítés és energiatakarékos működés
A nyomógomb tápellátását egy CR2032 elem biztosítja, amely a csomag része, így az eszköz azonnal üzemkész. Az energiatakarékos kialakítás hosszú élettartamot biztosít, így ritkábban kell az elemcserével foglalkoznia.
Miért érdemes a Home DBP 03 nyomógombot választani?
– Könnyű bővíthetőség: Ideális több bejárat lefedésére vagy a meglévő rendszer bővítésére. – Kompatibilitás: Számos Home vezeték nélküli csengőmodellel működik, így rugalmas megoldást kínál. – Időtálló kivitel: Az IP44-es védelem biztosítja a kültéri használatot, ellenáll az időjárás viszontagságainak. – Zavartalan működés: A 256 digitális kód garantálja, hogy nincs interferencia más eszközökkel. – Kompakt és elegáns: Kis mérete és modern kialakítása bármilyen környezetbe illeszkedik.
Válassza a Home DBP 03 nyomógombot, hogy csengőrendszere mindig tökéletesen működjön, és otthona még kényelmesebb és praktikusabb legyen!</t>
        </is>
      </c>
    </row>
    <row r="638">
      <c r="A638" s="3" t="inlineStr">
        <is>
          <t>DB 442</t>
        </is>
      </c>
      <c r="B638" s="2" t="inlineStr">
        <is>
          <t>Home DB 442 vezeték nélküli csengő, 100m hatótáv, 4 nyomógombbal bővíthető, memória, beépített 13A hálózati aljzat, 230V-os tápellátás</t>
        </is>
      </c>
      <c r="C638" s="1" t="n">
        <v>13090.0</v>
      </c>
      <c r="D638" s="7" t="n">
        <f>HYPERLINK("https://www.somogyi.hu/product/home-db-442-vezetek-nelkuli-csengo-100m-hatotav-4-nyomogombbal-bovitheto-memoria-beepitett-13a-halozati-aljzat-230v-os-tapellatas-db-442-14169","https://www.somogyi.hu/product/home-db-442-vezetek-nelkuli-csengo-100m-hatotav-4-nyomogombbal-bovitheto-memoria-beepitett-13a-halozati-aljzat-230v-os-tapellatas-db-442-14169")</f>
        <v>0.0</v>
      </c>
      <c r="E638" s="7" t="n">
        <f>HYPERLINK("https://www.somogyi.hu/data/img/product_main_images/small/14169.jpg","https://www.somogyi.hu/data/img/product_main_images/small/14169.jpg")</f>
        <v>0.0</v>
      </c>
      <c r="F638" s="2" t="inlineStr">
        <is>
          <t>5999084922177</t>
        </is>
      </c>
      <c r="G638" s="4" t="inlineStr">
        <is>
          <t>Szüksége van egy megbízható, sokoldalú csengőre, amely modern funkcióival emeli otthona kényelmét? A Home DB 442 vezeték nélküli csengő nemcsak praktikus, de innovatív megoldásokkal teszi egyszerűvé a mindennapokat. Beépített hálózati aljzattal és memóriával rendelkezik, így áramkimaradás esetén sem vesznek el a beállításai.
Korszerű és rugalmas használat
A Home DB 442 csengő 100 méteres hatótávolsága ideális választás nagyobb épületek vagy tágas otthonok számára. A készülék akár 4 nyomógombbal bővíthető, így több bejárathoz is csatlakoztatható. Az előre programozott 256 különböző digitális kód gondoskodik arról, hogy más csengők ne zavarják a működését. A működést jelző LED fénya beltéri egységen vizuális visszajelzést biztosít.
Praktikum és tartósság egy készülékben
Ez a vezeték nélküli csengő egy beépített, 13A terhelhetőségű hálózati aljzattal is rendelkezik, így más készülékek működtetésére is használható. A vízálló, IP44-es nyomógomb tökéletes kültéri használatra, ellenáll az időjárási viszontagságoknak. Az állítható hangerőszabályozás lehetővé teszi, hogy a csengő hangja az igényeihez igazodjon, míg a 8 kellemes dallam között mindenki megtalálhatja a számára megfelelőt.
Miért válassza a Home DB 442 csengőt?
A készülék többfunkciós kialakítása lehetővé teszi, hogy egyszerre csengőként és hálózati aljzatként is használható legyen. Rugalmasságát bizonyítja a bővíthetőség, amely akár négy külön nyomógomb csatlakoztatását is lehetővé teszi. Az áramszünet esetén is megőrzött memória pedig garantálja a kényelmet és a folyamatos működést. Vízálló kialakítása és zavarvédett technológiája révén hosszú távon is megbízható.
Hozzon létre egy kényelmes és innovatív csengőrendszert otthonában a Home DB 442 vezeték nélküli csengővel! Vásárolja meg most, és élvezze a modern technológia nyújtotta előnyöket!</t>
        </is>
      </c>
    </row>
    <row r="639">
      <c r="A639" s="3" t="inlineStr">
        <is>
          <t>DC915NG</t>
        </is>
      </c>
      <c r="B639" s="2" t="inlineStr">
        <is>
          <t>Honeywell Home DC915NG vezeték nélküli csengő, 200m hatótáv, 11 dallam, időzíthető némítás, LED jelzőfény, állítható hangerő, elemes tápellátás</t>
        </is>
      </c>
      <c r="C639" s="1" t="n">
        <v>25590.0</v>
      </c>
      <c r="D639" s="7" t="n">
        <f>HYPERLINK("https://www.somogyi.hu/product/honeywell-home-dc915ng-vezetek-nelkuli-csengo-200m-hatotav-11-dallam-idozitheto-nemitas-led-jelzofeny-allithato-hangero-elemes-tapellatas-dc915ng-17299","https://www.somogyi.hu/product/honeywell-home-dc915ng-vezetek-nelkuli-csengo-200m-hatotav-11-dallam-idozitheto-nemitas-led-jelzofeny-allithato-hangero-elemes-tapellatas-dc915ng-17299")</f>
        <v>0.0</v>
      </c>
      <c r="E639" s="7" t="n">
        <f>HYPERLINK("https://www.somogyi.hu/data/img/product_main_images/small/17299.jpg","https://www.somogyi.hu/data/img/product_main_images/small/17299.jpg")</f>
        <v>0.0</v>
      </c>
      <c r="F639" s="2" t="inlineStr">
        <is>
          <t>5004100965622</t>
        </is>
      </c>
      <c r="G639" s="4" t="inlineStr">
        <is>
          <t>Szeretne egy csengőt, amely nemcsak praktikus, hanem stílusos és sokoldalú megoldást nyújt otthona kényelméhez?
A Honeywell Home DC915NG vezeték nélküli csengő ideális választás azoknak, akik prémium minőségű, megbízható és modern eszközt keresnek. Az akár 200 méteres hatótávolság, az állítható hangerő, valamint az időzíthető némítási funkció biztosítja, hogy a készülék minden helyzetben megfeleljen az igényeinek.
Kimagasló teljesítmény és rugalmasság
A Honeywell Home DC915NG vezeték nélküli csengő a 868 MHz-es frekvencián működik, amely zavartalan és stabil kapcsolatot biztosít a beltéri egység és a nyomógomb között. Az akár 90 dB hangerővel rendelkező csengő garantálja, hogy mindig értesül látogatói érkezéséről, miközben 11 különböző dallam közül választhat, így a hangzás teljes mértékben személyre szabható.
Az időzíthető némítás funkcióval Ön dönti el, hogy mennyi ideig legyen csendes a csengő – választhat 3, 6, 9 vagy akár 12 órás időtartamot is, ami különösen praktikus a nyugalmat igénylő időszakokban.
Elegáns kialakítás és LED fényjelzések
A csengő modern, ezüst színű dizájnja eleganciát kölcsönöz otthonának, míg a stroboszkópos LED keretvilágítás nemcsak esztétikai élményt nyújt, hanem praktikus vizuális jelzéseket is biztosít. A csengő 7 különböző színű fényjelzéssel rendelkezik, amelyeket könnyedén testreszabhat. A LED-jelzőfény csengetéskor további vizuális értesítést nyújt, így akkor is értesül a látogatóról, ha a csengő hangját éppen nem hallja.
Időtálló és megbízható kültéri használatra is
A nyomógomb IP55-ös védettsége gondoskodik a megbízható működésről még kedvezőtlen időjárási körülmények között is. A kompakt méretű nyomógomb (70 x 30 x 16 mm) könnyen felszerelhető, és az 1 x 3 V-os CR2032 elem a csomag része, így azonnal üzemkész.
Egyszerű telepítés és energiahatékony működés
A beltéri egység 4 darab C típusú elemről üzemel (nem tartozék), vagy külső tápegységről is működtethető (micro USB, 5 V / 500 mA, nem tartozék), ami hosszú üzemidőt és rugalmasságot biztosít. A készülék elemállapot-kijelzővel rendelkezik, így mindig pontosan tudja, mikor szükséges az elemek cseréje.
Miért érdemes a Honeywell Home DC915NG csengőt választani?
– Hosszú hatótáv: Az akár 200 méteres jelátvitel ideális nagyobb otthonokhoz vagy irodákhoz is. – Prémium dizájn: Elegáns ezüst szín és LED fényjelzések, amelyek esztétikailag is kiemelkednek. – Rugalmasság: Időzíthető némítás funkció és állítható hangerő a személyre szabott használatért. – Tartósság: Az IP55-ös nyomógomb védett az időjárás viszontagságaitól. – Egyszerű telepítés: Vezeték nélküli kivitel és többféle tápellátási lehetőség az azonnali használathoz.
Válassza a Honeywell Home DC915NG vezeték nélküli csengőt, és tapasztalja meg a modern technológia, a stílusos megjelenés és a kiemelkedő teljesítmény tökéletes kombinációját!</t>
        </is>
      </c>
    </row>
    <row r="640">
      <c r="A640" s="3" t="inlineStr">
        <is>
          <t>DB 1050DC</t>
        </is>
      </c>
      <c r="B640" s="2" t="inlineStr">
        <is>
          <t>Home DB 1050DC vezeték nélküli csengő, 100 m hatótáv, 36 változatos stílusú dallam, egyedi kódolás tanuló funkcióval</t>
        </is>
      </c>
      <c r="C640" s="1" t="n">
        <v>5390.0</v>
      </c>
      <c r="D640" s="7" t="n">
        <f>HYPERLINK("https://www.somogyi.hu/product/home-db-1050dc-vezetek-nelkuli-csengo-100-m-hatotav-36-valtozatos-stilusu-dallam-egyedi-kodolas-tanulo-funkcioval-db-1050dc-17161","https://www.somogyi.hu/product/home-db-1050dc-vezetek-nelkuli-csengo-100-m-hatotav-36-valtozatos-stilusu-dallam-egyedi-kodolas-tanulo-funkcioval-db-1050dc-17161")</f>
        <v>0.0</v>
      </c>
      <c r="E640" s="7" t="n">
        <f>HYPERLINK("https://www.somogyi.hu/data/img/product_main_images/small/17161.jpg","https://www.somogyi.hu/data/img/product_main_images/small/17161.jpg")</f>
        <v>0.0</v>
      </c>
      <c r="F640" s="2" t="inlineStr">
        <is>
          <t>5999084951931</t>
        </is>
      </c>
      <c r="G640" s="4" t="inlineStr">
        <is>
          <t>Úgy érzi, ideje egy modern, megbízható csengőt választani, amely nemcsak praktikus, de stílusos is? A Home DB 1050DC vezeték nélküli csengő minden igényt kielégít, legyen szó nagyobb lakásról vagy családi házról. 
Az akár 100 méteres hatótávval rendelkező csengő lehetővé teszi, hogy mindig tudomása legyen arról, ha valaki érkezik Önhöz, függetlenül attól, hol tartózkodik otthonában. Az eszköz 36 különböző, változatos dallammal rendelkezik, így mindenki megtalálhatja a kedvencét, amely harmonizál a ház hangulatával. A Home DB 1050DC csengő egyedi kódolás tanuló funkcióval van ellátva, amely biztosítja, hogy a csengő és a hozzá kapcsolódó nyomógomb(ok) zavartalanul működjenek, más eszközök által keltett interferencia nélkül. 
A működési frekvencia 433,9 MHz, ami garantálja a stabil és megbízható kapcsolatot. A csengőhöz egyszerre akár 8 nyomógombot is hozzá lehet tanítani, így több bejáratnál is könnyedén használható. A csengő energiaellátását három darab 1,5V-os AA (LR6) elem biztosítja (nem tartozék), míg a nyomógombot egy 3V-os CR2032 gombelem működteti, amely a csomag része. Az eszköz kompakt méretei (csengő: 94 x 70 x 30 mm, nyomógomb: 89 x 89 x 15 mm) lehetővé teszik, hogy diszkréten illeszkedjen bármely környezetbe.
Ne hagyja ki ezt a lehetőséget, hogy otthonát még kényelmesebbé és biztonságosabbá tegye! Rendelje meg most a Home DB 1050DC vezeték nélküli csengőt, és élvezze a megbízható működés előnyeit minden egyes érkezésnél!</t>
        </is>
      </c>
    </row>
    <row r="641">
      <c r="A641" s="3" t="inlineStr">
        <is>
          <t>DC311NP2</t>
        </is>
      </c>
      <c r="B641" s="2" t="inlineStr">
        <is>
          <t>Honeywell Home DC311NP2 vezeték nélküli csengő, 150m hatótávolság, 4 dallam, IP55 védett nyomógomb, 230V tápellátás</t>
        </is>
      </c>
      <c r="C641" s="1" t="n">
        <v>20290.0</v>
      </c>
      <c r="D641" s="7" t="n">
        <f>HYPERLINK("https://www.somogyi.hu/product/honeywell-home-dc311np2-vezetek-nelkuli-csengo-150m-hatotavolsag-4-dallam-ip55-vedett-nyomogomb-230v-tapellatas-dc311np2-17293","https://www.somogyi.hu/product/honeywell-home-dc311np2-vezetek-nelkuli-csengo-150m-hatotavolsag-4-dallam-ip55-vedett-nyomogomb-230v-tapellatas-dc311np2-17293")</f>
        <v>0.0</v>
      </c>
      <c r="E641" s="7" t="n">
        <f>HYPERLINK("https://www.somogyi.hu/data/img/product_main_images/small/17293.jpg","https://www.somogyi.hu/data/img/product_main_images/small/17293.jpg")</f>
        <v>0.0</v>
      </c>
      <c r="F641" s="2" t="inlineStr">
        <is>
          <t>5004100965356</t>
        </is>
      </c>
      <c r="G641" s="4" t="inlineStr">
        <is>
          <t>Szeretne egy megbízható, modern csengőt, amely stílusosan illeszkedik otthonába, és minden elvárásnak megfelel?
A Honeywell Home DC311NP2 vezeték nélküli csengő az ideális választás, amely egyesíti a kényelmes használatot, a hosszú élettartamot és a letisztult megjelenést. Az akár 150 méteres hatótávolság és a négy kellemes dallam biztosítja, hogy soha ne maradjon le látogatóiról – legyen szó lakásról, családi házról vagy irodáról.
Innovatív technológia a mindennapok kényelméért
A Honeywell Home DC311NP2 vezeték nélküli csengő a 868 MHz-es működési frekvenciával stabil, zavartalan kapcsolatot biztosít a beltéri egység és a nyomógomb között. A készülék maximálisan 80 dB-es hangerővel rendelkezik, így minden szobából jól hallható. A négy választható dallam lehetőséget ad arra, hogy a csengő hangját személyre szabja, és minden érkezés különleges pillanat legyen.
Időtálló és kültéri használatra is alkalmas
A nyomógomb IP55-ös védettsége gondoskodik arról, hogy esőben, poros környezetben is megbízhatóan működjön. Az elemmel (1 x 3 V CR2032, tartozék) működő nyomógomb könnyen telepíthető, kompakt méretének (70 x 30 x 15 mm) köszönhetően bárhová elhelyezhető. A csengő beltéri egysége 230 V tápellátással üzemel, így folyamatosan biztosítja a működést anélkül, hogy az elemcserével kellene foglalkoznia.
Elegáns megjelenés és egyszerű beüzemelés
A csengő letisztult fehér-szürke színkombinációja modern, mégis visszafogott stílust képvisel, amely bármilyen enteriőrbe harmonikusan illeszkedik. A kompakt méretű beltéri egység (110 x 70 x 40 mm) diszkréten elhelyezhető, miközben a telepítés rendkívül egyszerű, akár szakértelem nélkül is.
Miért érdemes a Honeywell Home DC311NP2 csengőt választani?
– Stabil kapcsolat: 150 méteres hatótávolság és zavartalan jelátvitel a 868 MHz-es frekvencián. – Tartósság: Az IP55-ös védelemmel ellátott nyomógomb ellenáll az időjárási viszonyoknak. – Felhasználóbarát működés: Az elemes nyomógomb és a hálózati tápellátású csengő egyszerű és kényelmes üzemeltetést biztosít. – Esztétikus kivitel: Letisztult dizájn és kompakt méretek, amelyek minden otthonba illeszkednek.
Hozza el otthonába a Honeywell Home DC311NP2 csengő kényelmét és modern technológiáját, hogy minden látogató érkezése különleges pillanat lehessen!</t>
        </is>
      </c>
    </row>
    <row r="642">
      <c r="A642" s="3" t="inlineStr">
        <is>
          <t>DCR313N</t>
        </is>
      </c>
      <c r="B642" s="2" t="inlineStr">
        <is>
          <t>Honeywell Home DCR313N vezeték nélküli csengő, 150m hatótáv, 84 dB, 6 dallam, LED jelzőfény, IP55, 868 MHz</t>
        </is>
      </c>
      <c r="C642" s="1" t="n">
        <v>8390.0</v>
      </c>
      <c r="D642" s="7" t="n">
        <f>HYPERLINK("https://www.somogyi.hu/product/honeywell-home-dcr313n-vezetek-nelkuli-csengo-150m-hatotav-84-db-6-dallam-led-jelzofeny-ip55-868-mhz-dcr313n-17300","https://www.somogyi.hu/product/honeywell-home-dcr313n-vezetek-nelkuli-csengo-150m-hatotav-84-db-6-dallam-led-jelzofeny-ip55-868-mhz-dcr313n-17300")</f>
        <v>0.0</v>
      </c>
      <c r="E642" s="7" t="n">
        <f>HYPERLINK("https://www.somogyi.hu/data/img/product_main_images/small/17300.jpg","https://www.somogyi.hu/data/img/product_main_images/small/17300.jpg")</f>
        <v>0.0</v>
      </c>
      <c r="F642" s="2" t="inlineStr">
        <is>
          <t>5004100965653</t>
        </is>
      </c>
      <c r="G642" s="4" t="inlineStr">
        <is>
          <t>Ön is szeretne egy olyan megbízható csengőt, amely messzire hallatszik és több dallam közül is választhat? A Honeywell Home DCR313N vezeték nélküli csengő kiváló választás azok számára, akik nem akarnak kompromisszumot kötni a minőség terén. Ez a modern készülék akár 150 méteres hatótávolságot biztosít, mely elegendő még a legtágasabb otthonokhoz is.
Az 84 dB maximális hangerő garantálja, hogy a csengő hangját a ház legtöbb pontján hallani fogja. A hat különféle dallam lehetővé teszi, hogy kedvére válogathasson a hangzások között. A beépített LED jelzőfény minden csengetéskor világít, így vizuális visszajelzést is kap, ha látogatója érkezik. Az állítható hangerő szinteknek köszönhetően beállíthatja a kívánt erősséget.
Az IP55 védettségű nyomógomb különösen ellenálló az időjárás viszontagságainak így azt kültéren is telepítheti, míg a 868 MHz-es frekvencia biztosítja a zavartalan működést. A csengő működtetéséhez szükséges 4 AA elemet külön kell beszereznie, de a csomag tartalmaz egy CR2032-es elemet a nyomógombhoz. Méretei tökéletesek, minden otthonban diszkréten elhelyezhető. Válassza a Honeywell Home DCR313N csengőt, hogy soha többé ne szalassza el látogatóit!</t>
        </is>
      </c>
    </row>
    <row r="643">
      <c r="A643" s="3" t="inlineStr">
        <is>
          <t>DB 1000AC</t>
        </is>
      </c>
      <c r="B643" s="2" t="inlineStr">
        <is>
          <t>Home DB 1000AC vezeték nélküli csengő, 100m hatótáv, 38 dallam, 4 fokozatú hangerő, kék LED gyűrű, néma mód, 230V-os tápellátás</t>
        </is>
      </c>
      <c r="C643" s="1" t="n">
        <v>6690.0</v>
      </c>
      <c r="D643" s="7" t="n">
        <f>HYPERLINK("https://www.somogyi.hu/product/home-db-1000ac-vezetek-nelkuli-csengo-100m-hatotav-38-dallam-4-fokozatu-hangero-kek-led-gyuru-nema-mod-230v-os-tapellatas-db-1000ac-17130","https://www.somogyi.hu/product/home-db-1000ac-vezetek-nelkuli-csengo-100m-hatotav-38-dallam-4-fokozatu-hangero-kek-led-gyuru-nema-mod-230v-os-tapellatas-db-1000ac-17130")</f>
        <v>0.0</v>
      </c>
      <c r="E643" s="7" t="n">
        <f>HYPERLINK("https://www.somogyi.hu/data/img/product_main_images/small/17130.jpg","https://www.somogyi.hu/data/img/product_main_images/small/17130.jpg")</f>
        <v>0.0</v>
      </c>
      <c r="F643" s="2" t="inlineStr">
        <is>
          <t>5999084951627</t>
        </is>
      </c>
      <c r="G643" s="4" t="inlineStr">
        <is>
          <t>Hogyan teremthet elegáns és modern megoldást otthona vagy irodája csengőrendszerének frissítésére? A Home DB 1000AC vezeték nélküli csengő a technológia és a design tökéletes kombinációját kínálja, hogy egyszerre legyen praktikus, esztétikus és megbízható. Az akár 100 méteres hatótáv, a 38 dallam közül választható zenei paletta és az aktív kék LED fényjelzés révén minden igényének megfelelhet.
Hosszú hatótáv és zavartalan működés
A csengő 100 méteres hatótávolsággal működik nyílt terepen, így ideális nagyobb otthonok, irodák vagy akár ipari létesítmények számára is. A 433,92 MHz-es működési frekvencia és az egyedi kódolás tanulófunkcióval biztosítja, hogy más eszközök jelei ne zavarják a működést. Egy csengőhöz akár négy nyomógomb is párosítható, ami további rugalmasságot biztosít.
Dallamok és hangzás, amely mindenkit lenyűgöz
A készülék 38 különböző, igényes klasszikus dallammal rendelkezik, melyek többszólamú, kellemes hangzásukkal emelik ki a Home DB 1000AC csengőt a megszokott megoldások közül. A hangerő 4 fokozatban állítható, így a halkabb vagy hangosabb környezethez is tökéletesen igazítható.
Fényjelzés és néma mód a maximális funkcionalitásért
A csengetéskor villogó kék LED gyűrű modern és figyelemfelkeltő megoldást kínál. A készülék néma módban is használható, ilyenkor csak a fényjelzés értesíti a látogatók érkezéséről, ami különösen praktikus lehet például alvó gyermekek vagy zajmentes környezetben dolgozók számára.
Robusztus és vízálló kivitel
A nyomógomb IP44-es védelemmel ellátott, így ellenáll az időjárás viszontagságainak, és kültéren is megbízhatóan működik. A memória funkció révén a beállítások áramszünet esetén sem vesznek el, így még nagyobb kényelmet nyújt.
Egyszerű telepítés és energiatakarékos működés
A beltéri egység 230 V-os hálózatról működik, míg a nyomógombhoz tartozó CR2032 elem a csomag része, így a készülék azonnal üzembe helyezhető. A minimalista dizájn és a kompakt méret révén a Home DB 1000AC csengő esztétikusan illeszkedik bármilyen környezetbe.
Miért válassza a Home DB 1000AC vezeték nélküli csengőt?
Ez a csengő nemcsak praktikus, de esztétikus megoldást is kínál a mindennapokra. A modern technológia, a kellemes hangzás és a megbízhatóság együttesen gondoskodik róla, hogy Ön mindig értesüljön látogatóiról, bármilyen körülmények között. Az aktív kék fényjelzés és a néma üzemmód különösen vonzó lehetőség azok számára, akik egyedi és intelligens megoldást keresnek.
Frissítse otthonát a Home DB 1000AC vezeték nélküli csengővel, amely egyszerre nyújt kényelmet, modern funkcionalitást és stílust!</t>
        </is>
      </c>
    </row>
    <row r="644">
      <c r="A644" s="3" t="inlineStr">
        <is>
          <t>DB 0640DC</t>
        </is>
      </c>
      <c r="B644" s="2" t="inlineStr">
        <is>
          <t>Home DB 0640DC vezeték nélküli csengő, 60 m hatótáv, 32 dallam, fényjelzés csengetéskor, elemes tápellátás</t>
        </is>
      </c>
      <c r="C644" s="1" t="n">
        <v>3990.0</v>
      </c>
      <c r="D644" s="7" t="n">
        <f>HYPERLINK("https://www.somogyi.hu/product/home-db-0640dc-vezetek-nelkuli-csengo-60-m-hatotav-32-dallam-fenyjelzes-csengeteskor-elemes-tapellatas-db-0640dc-17088","https://www.somogyi.hu/product/home-db-0640dc-vezetek-nelkuli-csengo-60-m-hatotav-32-dallam-fenyjelzes-csengeteskor-elemes-tapellatas-db-0640dc-17088")</f>
        <v>0.0</v>
      </c>
      <c r="E644" s="7" t="n">
        <f>HYPERLINK("https://www.somogyi.hu/data/img/product_main_images/small/17088.jpg","https://www.somogyi.hu/data/img/product_main_images/small/17088.jpg")</f>
        <v>0.0</v>
      </c>
      <c r="F644" s="2" t="inlineStr">
        <is>
          <t>5999084951207</t>
        </is>
      </c>
      <c r="G644" s="4" t="inlineStr">
        <is>
          <t>Olyan csengőt keres, amely praktikus, stílusos és könnyen telepíthető?
A Home DB 0640DC vezeték nélküli csengő tökéletes választás otthonok vagy kisebb irodák számára. Az akár 60 méteres hatótávolság, a 32 változatos dallam és a piros LED fényjelzés garantálja a megbízható működést és a könnyű használatot, miközben modern megjelenést kölcsönöz környezetének.
Kiváló teljesítmény és kellemes hangzás
A csengő a 433,9 MHz-es frekvencián működik, amely biztosítja a stabil kapcsolatot a beltéri egység és a nyomógomb között. A 32 ismert dallam közül választható hangjelzések között mindenki megtalálja a számára legmegfelelőbbet, legyen szó klasszikus vagy modern dallamokról. A többszólamú hangzás különösen kellemes és jól hallható, így a csengő használata igazán élvezetes élménnyé válik.
Praktikus fényjelzés és energiatakarékos működés
A csengetéskor aktiválódó piros LED fényjelzés vizuális értesítést nyújt, amely különösen hasznos zajos környezetben vagy halláskárosultak számára. Az energiahatékony működés érdekében a csengő két AA elemmel működik (nem tartozék), míg a nyomógomb tápellátásához szükséges LR23A elem a csomag része, így az azonnal üzemkész állapotban van.
Diszkrét és stílusos kialakítás
A csengő kompakt mérete (70 x 105 x 26 mm) lehetővé teszi, hogy szinte bármilyen felületre könnyen rögzíthető legyen. A letisztult fehér szín harmonikusan illeszkedik minden környezetbe, miközben a csengő modern és visszafogott megjelenést biztosít.
Miért érdemes a Home DB 0640DC csengőt választani?
– Felhasználóbarát: Könnyű telepítés és azonnali üzemkészség a tartozék elemmel. – Sokoldalú: 32 dallam közül választható hangjelzések a személyre szabott élményért. – Praktikus fényjelzés: A piros LED csengetéskor vizuális visszajelzést ad. – Kompakt kialakítás: Kis mérete és elegáns fehér színe minden környezethez illeszkedik. – Energiatakarékos: Gazdaságos elemes tápellátás a hosszú üzemidő érdekében.
Tegye otthonát kényelmesebbé és modernebbé a Home DB 0640DC vezeték nélküli csengővel, és élvezze a megbízható működés előnyeit minden nap!</t>
        </is>
      </c>
    </row>
    <row r="645">
      <c r="A645" s="3" t="inlineStr">
        <is>
          <t>D 6</t>
        </is>
      </c>
      <c r="B645" s="2" t="inlineStr">
        <is>
          <t>Home D 6 vezetékes dallamcsengő, a régi csengőgombbal és vezetékkel üzemeltethető, 8 választható dallam, elemes tápellátás</t>
        </is>
      </c>
      <c r="C645" s="1" t="n">
        <v>7690.0</v>
      </c>
      <c r="D645" s="7" t="n">
        <f>HYPERLINK("https://www.somogyi.hu/product/home-d-6-vezetekes-dallamcsengo-a-regi-csengogombbal-es-vezetekkel-uzemeltetheto-8-valaszthato-dallam-elemes-tapellatas-d-6-2783","https://www.somogyi.hu/product/home-d-6-vezetekes-dallamcsengo-a-regi-csengogombbal-es-vezetekkel-uzemeltetheto-8-valaszthato-dallam-elemes-tapellatas-d-6-2783")</f>
        <v>0.0</v>
      </c>
      <c r="E645" s="7" t="n">
        <f>HYPERLINK("https://www.somogyi.hu/data/img/product_main_images/small/02783.jpg","https://www.somogyi.hu/data/img/product_main_images/small/02783.jpg")</f>
        <v>0.0</v>
      </c>
      <c r="F645" s="2" t="inlineStr">
        <is>
          <t>5998312731079</t>
        </is>
      </c>
      <c r="G645" s="4" t="inlineStr">
        <is>
          <t>Hogyan frissítheti otthona csengőrendszerét egyszerűen, a meglévő csengőgomb használatával? A Home D 6 vezetékes dallamcsengő modern megoldást kínál a hagyományos csengőgombokhoz. Az egyszerű telepítés, a 8 választható dallam és az elemes tápellátás révén tökéletes választás mindenki számára, aki könnyedén szeretné modernizálni otthona hangjelző rendszerét.
Egyszerű integráció meglévő csengőgombbal
A Home D 6 vezetékes dallamcsengő különlegessége, hogy könnyedén csatlakoztatható a meglévő csengőgombhoz és vezetékrendszerhez. Ezáltal nem szükséges új nyomógombot vagy vezetékeket telepíteni, ami idő- és költséghatékony megoldás.
Nyolc dallam a személyre szabott hangélményért
A csengő 8 különböző dallammal rendelkezik, amelyek között mindenki megtalálhatja az ízléséhez leginkább illőt. A dallamok automatikusan válthatók, így minden alkalommal új hangjelzés szólalhat meg, frissességet hozva a mindennapokba.
Egyszerű és gazdaságos tápellátás
A készülék működéséhez mindössze 2 darab AA elem szükséges (nem tartozék), így nem kell bonyolult elektromos hálózathoz csatlakoztatni. Ez különösen hasznos, ha a csengőt olyan helyen kívánja használni, ahol nem áll rendelkezésre közvetlen hálózati tápellátás.
Kompakt és esztétikus kialakítás
A csengő méretei mindössze 98 x 155 x 38 mm, így diszkréten elhelyezhető bármilyen falon vagy ajtó mellett. A letisztult, modern megjelenés minden otthonhoz illik, miközben funkcionális és könnyen kezelhető marad.
Praktikus funkciók a hétköznapi használathoz
A Home D 6 dallamcsengő egyszerű, mégis hatékony funkciókkal rendelkezik. Bár hangerőszabályozóval nem látták el, a dallamok jól hallhatók és tiszták. A vezetékes működésnek köszönhetően nincs szükség rádiófrekvenciás jeltovábbításra, így a készülék zavarmentesen működik minden környezetben.
Miért érdemes a Home D 6 dallamcsengőt választania?
Ez a vezetékes csengő ideális megoldás mindazok számára, akik egyszerűen szeretnék frissíteni meglévő csengőrendszerüket, miközben modern dallamokkal és energiatakarékos működéssel gazdagítják otthonukat. Az egyszerű telepítés és a praktikus kialakítás miatt a Home D 6 tökéletes választás lehet bármilyen lakókörnyezetbe.
Hozzon új színt otthonába a Home D 6 vezetékes dallamcsengővel, amely az egyszerűség és a funkcionalitás tökéletes kombinációját nyújtja!</t>
        </is>
      </c>
    </row>
    <row r="646">
      <c r="A646" s="3" t="inlineStr">
        <is>
          <t>DBK 1401AC</t>
        </is>
      </c>
      <c r="B646" s="2" t="inlineStr">
        <is>
          <t>Home DBK 1401AC vezeték nélküli csengő, 140 m hatótávolság, IP44, állítható hangerő, 4 nyomógomb lehetőség</t>
        </is>
      </c>
      <c r="C646" s="1" t="n">
        <v>9190.0</v>
      </c>
      <c r="D646" s="7" t="n">
        <f>HYPERLINK("https://www.somogyi.hu/product/home-dbk-1401ac-vezetek-nelkuli-csengo-140-m-hatotavolsag-ip44-allithato-hangero-4-nyomogomb-lehetoseg-dbk-1401ac-18307","https://www.somogyi.hu/product/home-dbk-1401ac-vezetek-nelkuli-csengo-140-m-hatotavolsag-ip44-allithato-hangero-4-nyomogomb-lehetoseg-dbk-1401ac-18307")</f>
        <v>0.0</v>
      </c>
      <c r="E646" s="7" t="n">
        <f>HYPERLINK("https://www.somogyi.hu/data/img/product_main_images/small/18307.jpg","https://www.somogyi.hu/data/img/product_main_images/small/18307.jpg")</f>
        <v>0.0</v>
      </c>
      <c r="F646" s="2" t="inlineStr">
        <is>
          <t>5999084963293</t>
        </is>
      </c>
      <c r="G646" s="4" t="inlineStr">
        <is>
          <t>Egy olyan csengőt keres, ami hideg időben is megbízhatóan működik és sosem igényel elemcserét? A Home DBK 1401AC vezeték nélküli csengő a megoldás. Ez a csengő 36 klasszikus dallammal és többszólamú, kellemes hangzással teszi otthonát még inkább vendégbaráttá. Négy fokozatban állítható hangerővel rendelkezik, továbbá csendes fényjelzést is biztosít, ami különösen hasznos lehet kisgyermekes családok számára.
A csengő két alapvető funkciója a hang és fényjelzés, valamint csak fényjelzés. Rendelkezik továbbá egy kikapcsolható, automatikusan működő melegfényű éjszakai irányfénnyel, fényérzékelővel. A csengő prémium kivitelű textil előlappal büszkélkedhet, és víznek ellenálló nyomógombbal (IP44) érkezik. A gomb kinetikus energiával működik, így elemcserére nincs szükség. Hatótávolsága nyílt terepen akár 140 méter is lehet, zavarvédett kialakítása pedig garantálja, hogy más csengők jelei ne zavarják.
Legyen szó akár egy késő esti látogatásról vagy nappali családi összejövetelről, a Home DBK 1401AC vezeték nélküli csengő tökéletes választás az Ön otthonába, eleganciát és kényelmet biztosítva minden vendég számára. Fedezze fel a kényelmet, amit ez a modern, vezeték nélküli csengő nyújthat, és tegye otthonát még kényelmesebbé.</t>
        </is>
      </c>
    </row>
    <row r="647">
      <c r="A647" s="3" t="inlineStr">
        <is>
          <t>DC515NP2</t>
        </is>
      </c>
      <c r="B647" s="2" t="inlineStr">
        <is>
          <t>Honeywell Home DC515N vezeték nélküli csengő, 150m hatótáv, 9 dallam, időzíthető némítás, LED fényjelzés, többcsatornás, 230V-os tápellátás</t>
        </is>
      </c>
      <c r="C647" s="1" t="n">
        <v>25590.0</v>
      </c>
      <c r="D647" s="7" t="n">
        <f>HYPERLINK("https://www.somogyi.hu/product/honeywell-home-dc515n-vezetek-nelkuli-csengo-150m-hatotav-9-dallam-idozitheto-nemitas-led-fenyjelzes-tobbcsatornas-230v-os-tapellatas-dc515np2-17297","https://www.somogyi.hu/product/honeywell-home-dc515n-vezetek-nelkuli-csengo-150m-hatotav-9-dallam-idozitheto-nemitas-led-fenyjelzes-tobbcsatornas-230v-os-tapellatas-dc515np2-17297")</f>
        <v>0.0</v>
      </c>
      <c r="E647" s="7" t="n">
        <f>HYPERLINK("https://www.somogyi.hu/data/img/product_main_images/small/17297.jpg","https://www.somogyi.hu/data/img/product_main_images/small/17297.jpg")</f>
        <v>0.0</v>
      </c>
      <c r="F647" s="2" t="inlineStr">
        <is>
          <t>5004100965554</t>
        </is>
      </c>
      <c r="G647" s="4" t="inlineStr">
        <is>
          <t>Szeretne egy elegáns, sokoldalú és megbízható csengőt, amely minden igénynek megfelel?
A Honeywell Home DC515N vezeték nélküli csengő ideális választás azok számára, akik prémium megoldást keresnek otthonuk vagy irodájuk számára. Az akár 150 méteres hatótávolság, a 9 választható dallam, valamint a HALO keretfény és a LED fényjelzés garantálja, hogy ez a csengő nemcsak hasznos, de esztétikus kiegészítője is legyen környezetének.
Kimagasló teljesítmény és rugalmas használat
A csengő 868 MHz-es működési frekvencián üzemel, amely biztosítja a stabil és zavartalan kapcsolatot a nyomógomb és a beltéri egység között. Az akár 84 dB-es hangerő minden helyiségből jól hallható, miközben a 9 különböző dallamlehetővé teszi, hogy a hangjelzést személyre szabja.
Az időzíthető némítás funkcióval egyszerűen kikapcsolhatja a csengőt 3, 6, 9 vagy 12 órára, így biztosíthatja a zavartalan pihenést vagy koncentrációt.
Stílusos fényjelzések és bővíthető rendszer
A csengő diszkrét HALO keretfénye és az erős LED fényjelzés nemcsak vizuálisan vonzó, hanem praktikus is. A 7 különböző szín közül választható keretfény különleges megjelenést biztosít, míg a fényjelzés biztosítja, hogy zajos környezetben is értesüljön a látogatókról.
Egy nyomógombhoz több csengő, illetve egy csengőhöz több nyomógomb is csatlakoztatható, így ez a készülék tökéletes megoldást nyújt nagyobb otthonok vagy irodák számára, ahol több bejáratot is kezelni kell.
Időtálló és kültéri használatra alkalmas kialakítás
A nyomógomb IP55-ös vízálló védelemmel rendelkezik, amely biztosítja a megbízható működést még kedvezőtlen időjárási körülmények között is. Kompakt méretének (70 x 30 x 15 mm) és modern fehér-szürke színvilágának köszönhetően bármilyen környezetben diszkréten elhelyezhető.
Könnyű telepítés és energiahatékony működés
A beltéri egység 230 V-os tápellátással működik, így nem kell elemek cseréjével bajlódnia. A nyomógomb energiaellátását egy tartozék CR2032 elem biztosítja, amely hosszú élettartamot garantál, így a készülék mindig üzemkész. A kompakt beltéri egység (70 x 70 x 76,5 mm) modern megjelenésével minden otthon vagy iroda tökéletes kiegészítője.
Miért érdemes a Honeywell Home DC515N csengőt választani?
– Hosszú hatótáv: Az akár 150 méteres RF hatótávolság lehetővé teszi, hogy a csengőt nagyobb otthonokban is kényelmesen használja. – Prémium megjelenés: A HALO keretfény és a LED fényjelzés modern és elegáns megjelenést kölcsönöz. – Rugalmasság: Egy nyomógombhoz több csengő, illetve egy csengőhöz több nyomógomb is csatlakoztatható. – Felhasználóbarát: Időzíthető némítás, állítható hangerő és könnyen testreszabható dallamok. – Időtálló kialakítás: Az IP55-ös védelemnek köszönhetően a nyomógomb kültéri használatra is alkalmas.
Válassza a Honeywell Home DC515N csengőt, és élvezze a modern technológia, a stílusos megjelenés és a megbízható működés előnyeit minden nap!</t>
        </is>
      </c>
    </row>
    <row r="648">
      <c r="A648" s="3" t="inlineStr">
        <is>
          <t>DB 0650DC</t>
        </is>
      </c>
      <c r="B648" s="2" t="inlineStr">
        <is>
          <t>Home DB 0650DC vezeték nélküli csengő, 60 m hatótáv, 32 dallam, LED fényjelzés, elemes tápellátás</t>
        </is>
      </c>
      <c r="C648" s="1" t="n">
        <v>3990.0</v>
      </c>
      <c r="D648" s="7" t="n">
        <f>HYPERLINK("https://www.somogyi.hu/product/home-db-0650dc-vezetek-nelkuli-csengo-60-m-hatotav-32-dallam-led-fenyjelzes-elemes-tapellatas-db-0650dc-17162","https://www.somogyi.hu/product/home-db-0650dc-vezetek-nelkuli-csengo-60-m-hatotav-32-dallam-led-fenyjelzes-elemes-tapellatas-db-0650dc-17162")</f>
        <v>0.0</v>
      </c>
      <c r="E648" s="7" t="n">
        <f>HYPERLINK("https://www.somogyi.hu/data/img/product_main_images/small/17162.jpg","https://www.somogyi.hu/data/img/product_main_images/small/17162.jpg")</f>
        <v>0.0</v>
      </c>
      <c r="F648" s="2" t="inlineStr">
        <is>
          <t>5999084951948</t>
        </is>
      </c>
      <c r="G648" s="4" t="inlineStr">
        <is>
          <t>Hogyan lehet egyszerűen és megbízhatóan értesülni látogatóiról otthon vagy akár az irodában?
A Home DB 0650DC vezeték nélküli csengő hatékony megoldást kínál mindazok számára, akik modern, könnyen telepíthető és stílusos csengőt keresnek – fúrás és bonyolult szerelés nélkül. Ideális választás családi házak, irodák, műhelyek vagy akár nyaralók számára is, ahol fontos az azonnali és jól érzékelhető jelzés.
Egyszerű használat, erőteljes teljesítmény
A készülék 60 méteres hatótávolsággal rendelkezik nyílt terepen, így nagyobb terekben is kiválóan működik. A 433,9 MHz-es működési frekvencia stabil kapcsolatot biztosít a nyomógomb és a beltéri egység között, ezáltal megbízható jelátvitelt garantál még zavaró környezetben is.
Változatos hangzás, figyelemfelkeltő fényjelzés
A csengő 32 különböző, ismert dallamot kínál, így mindenki megtalálhatja az ízlésének megfelelőt. A többszólamú hangzás kellemes és jól hallható, még zajosabb környezetben is. A csengéshez társuló piros LED fényjelzés vizuálisan is jelzi a bejövő látogatást, ami különösen hasznos lehet idősebbek, hallássérültek vagy zajos helyeken dolgozók számára.
Energiatakarékos és praktikus kialakítás
A vezeték nélküli csengő elemes tápellátású, így nincs szükség hálózati áramforrásra. A nyomógombot egy 12 V-os (LR 23A) elem működteti, amely a csomag része, míg a csengő egységhez 2 darab 1,5 V-os (AA) elem szükséges, amelyek külön vásárolhatók meg. Kompakt mérete (70 x 105 x 26 mm) révén könnyen elhelyezhető bármilyen környezetben, diszkréten és esztétikusan.
Miért érdemes a Home DB 0650DC csengőt választani?
– Akár 60 méteres hatótávolság nyílt terepen
– 32 változatos dallam, kellemes hangzás
– Figyelemfelkeltő LED fényjelzés
– Egyszerű, fúrásmentes telepítés
– Energiatakarékos, elemes működés
– Ideális otthonra, irodába, üzletbe
Tegye kényelmesebbé és biztonságosabbá mindennapjait egy korszerű és megbízható vezeték nélküli csengővel! A Home DB 0650DC ideális választás minden modern otthonba – válassza most, és élvezze a zavartalan látogatói értesítést kompromisszumok nélkül!</t>
        </is>
      </c>
    </row>
    <row r="649">
      <c r="A649" s="3" t="inlineStr">
        <is>
          <t>DB112AC</t>
        </is>
      </c>
      <c r="B649" s="2" t="inlineStr">
        <is>
          <t>Home DB112AC vezeték nélküli csengő, 100m hatótáv, 36 dallam, többszólamú hangzás, 4 lépcsős hangerő, kék LED visszajelző, 230V-os tápellátás</t>
        </is>
      </c>
      <c r="C649" s="1" t="n">
        <v>8590.0</v>
      </c>
      <c r="D649" s="7" t="n">
        <f>HYPERLINK("https://www.somogyi.hu/product/home-db112ac-vezetek-nelkuli-csengo-100m-hatotav-36-dallam-tobbszolamu-hangzas-4-lepcsos-hangero-kek-led-visszajelzo-230v-os-tapellatas-db112ac-18474","https://www.somogyi.hu/product/home-db112ac-vezetek-nelkuli-csengo-100m-hatotav-36-dallam-tobbszolamu-hangzas-4-lepcsos-hangero-kek-led-visszajelzo-230v-os-tapellatas-db112ac-18474")</f>
        <v>0.0</v>
      </c>
      <c r="E649" s="7" t="n">
        <f>HYPERLINK("https://www.somogyi.hu/data/img/product_main_images/small/18474.jpg","https://www.somogyi.hu/data/img/product_main_images/small/18474.jpg")</f>
        <v>0.0</v>
      </c>
      <c r="F649" s="2" t="inlineStr">
        <is>
          <t>5999084964924</t>
        </is>
      </c>
      <c r="G649" s="4" t="inlineStr">
        <is>
          <t>Hogyan találhatja meg a tökéletes csengőt, amely egyszerre praktikus és stílusos is? A Home DB112AC vezeték nélküli csengő modern megoldást kínál minden otthon és iroda számára, amelynél a megbízhatóság, az esztétika és a funkcionalitás kéz a kézben jár. A 100 méteres hatótávolság, a 36 változatos dallam és az intelligens LED visszajelző tökéletesen kielégíti a modern felhasználók igényeit.
Hosszú hatótávolság és zavartalan működés
A Home DB112AC vezeték nélküli csengő akár 100 méteres hatótávolságot is biztosít nyílt terepen, így nagyobb otthonok vagy irodai környezetek számára is ideális választás. A 433,9 MHz-es működési frekvencia és az egyedileg előre kódolt rendszer garantálja a zavartalan működést, függetlenül a környezetben található más vezeték nélküli eszközöktől.
Gazdag dallamválaszték és kiváló hangzás
A csengő 36 különböző dallamot kínál, melyek között mindenki megtalálhatja a számára legmegfelelőbbet. A többszólamú, kellemes hangzás biztosítja, hogy a hang érthető és elegáns legyen, míg a hangerő 4 lépcsős állítási lehetősége segít az egyéni igényekhez való igazodásban.
Kék LED visszajelző és vízálló kivitel
A csengetéskor megjelenő kék LED visszajelző nemcsak modern és figyelemfelkeltő, hanem praktikus is, különösen zajos környezetben. A nyomógomb IP44-es por- és vízálló védettséggel rendelkezik, így kültéren is megbízhatóan használható.
Egyszerű telepítés és energiahatékony működés
A beltéri egység közvetlenül a hálózatra csatlakoztatható 230 V-os tápellátással, míg a nyomógombhoz tartozó LR23A elem a csomag része, így az eszköz azonnal üzembe helyezhető. Kompakt méretének köszönhetően a Home DB112AC diszkréten illeszkedik bármilyen környezetbe.
Miért érdemes a Home DB112AC vezeték nélküli csengőt választania?
* Sokoldalúság: Ideális választás otthonok, irodák és egyéb épületek számára.
* Modern megjelenés: Elegáns dizájn és kék LED visszajelző, amely stílust visz a mindennapokba.
* Funkcionalitás: Gazdag dallamkínálat, állítható hangerő és megbízható vízállóság egyetlen készülékben.
Frissítse otthona vagy irodája csengőrendszerét a Home DB112AC vezeték nélküli csengővel, amely modern technológiájával és elegáns megjelenésével biztosítja a kényelmet és a praktikumot!</t>
        </is>
      </c>
    </row>
    <row r="650">
      <c r="A650" s="3" t="inlineStr">
        <is>
          <t>DBA1101AC</t>
        </is>
      </c>
      <c r="B650" s="2" t="inlineStr">
        <is>
          <t>Home DBA1101AC vezeték nélküli csengő, elemes nyomógomb, max 150m hatótáv, 38 dallam, IP44 nyomógomb</t>
        </is>
      </c>
      <c r="C650" s="1" t="n">
        <v>7290.0</v>
      </c>
      <c r="D650" s="7" t="n">
        <f>HYPERLINK("https://www.somogyi.hu/product/home-dba1101ac-vezetek-nelkuli-csengo-elemes-nyomogomb-max-150m-hatotav-38-dallam-ip44-nyomogomb-dba1101ac-18556","https://www.somogyi.hu/product/home-dba1101ac-vezetek-nelkuli-csengo-elemes-nyomogomb-max-150m-hatotav-38-dallam-ip44-nyomogomb-dba1101ac-18556")</f>
        <v>0.0</v>
      </c>
      <c r="E650" s="7" t="n">
        <f>HYPERLINK("https://www.somogyi.hu/data/img/product_main_images/small/18556.jpg","https://www.somogyi.hu/data/img/product_main_images/small/18556.jpg")</f>
        <v>0.0</v>
      </c>
      <c r="F650" s="2" t="inlineStr">
        <is>
          <t>5999084965747</t>
        </is>
      </c>
      <c r="G650" s="4" t="inlineStr">
        <is>
          <t>Olyan csengőt keres, amely megbízhatóan működik nagy távolságból is, és minden körülmények között figyelemfelkeltő? A Home DBA1101AC vezeték nélküli csengő kiváló megoldás minden otthon számára, mivel nyílt terepen akár 110 méteres hatótávolságot is biztosít. 
A készülék állítható hangerővel rendelkezik, így mindig az Ön igényeihez igazíthatja a hangszintet. A csengő 38 változatos és ismert dallammal büszkélkedhet, amelyek többszólamú és kellemes hangzásúak, így minden látogatót szívesen fogadhat.
A Home DBA1101AC három választható üzemmódot kínál: hang- és fényjelzés, csak fényjelzés, illetve csak hangjelzés. Ez a rugalmasság lehetővé teszi, hogy mindig a legmegfelelőbb beállítást válassza. Az IP44 védettségű nyomógomb időjárásálló, így hosszú távon is megbízhatóan működik. Az egyedi kódolás tanuló funkcióval a csengő erősen zavarvédett, így elkerülhető, hogy más csengők zavarják működését.
A készülék akár 8 nyomógombot is párosíthat egy csengőhöz, ami különösen hasznos több bejárat esetén. A memória áramszünet esetére biztosítja, hogy a beállítások ne vesszenek el, így mindig azonnal használatra kész. A csengő működési frekvenciája 433,92 MHz, ami stabil és megbízható kapcsolatot garantál. A nyomógomb tápellátása 1xCR2032 (3V) elem (tartozék), míg a csengő 220-240V~ 50Hz hálózati tápellátással működik.
Ne habozzon, válassza a Home DBA1101AC vezeték nélküli csengőt, és élvezze a megbízható és rugalmas csengő élményét otthonában!</t>
        </is>
      </c>
    </row>
    <row r="651">
      <c r="A651" s="3" t="inlineStr">
        <is>
          <t>DBK 1000AC</t>
        </is>
      </c>
      <c r="B651" s="2" t="inlineStr">
        <is>
          <t>Home DBK 1000AC vezeték nélküli csengő, elem nélküli, 100m hatótáv, 20 dallam, 3-fokozatú hangerő, kék LED, kinetikus nyomógomb, 230V-os tápellátás</t>
        </is>
      </c>
      <c r="C651" s="1" t="n">
        <v>11290.0</v>
      </c>
      <c r="D651" s="7" t="n">
        <f>HYPERLINK("https://www.somogyi.hu/product/home-dbk-1000ac-vezetek-nelkuli-csengo-elem-nelkuli-100m-hatotav-20-dallam-3-fokozatu-hangero-kek-led-kinetikus-nyomogomb-230v-os-tapellatas-dbk-1000ac-16425","https://www.somogyi.hu/product/home-dbk-1000ac-vezetek-nelkuli-csengo-elem-nelkuli-100m-hatotav-20-dallam-3-fokozatu-hangero-kek-led-kinetikus-nyomogomb-230v-os-tapellatas-dbk-1000ac-16425")</f>
        <v>0.0</v>
      </c>
      <c r="E651" s="7" t="n">
        <f>HYPERLINK("https://www.somogyi.hu/data/img/product_main_images/small/16425.jpg","https://www.somogyi.hu/data/img/product_main_images/small/16425.jpg")</f>
        <v>0.0</v>
      </c>
      <c r="F651" s="2" t="inlineStr">
        <is>
          <t>5999084944575</t>
        </is>
      </c>
      <c r="G651" s="4" t="inlineStr">
        <is>
          <t>Hogyan teremthet kényelmes és megbízható figyelmeztető rendszert otthonában elemcsere nélkül? A Home DBK 1000AC vezeték nélküli csengő innovatív megoldást kínál a modern otthonok számára. Az elem nélküli működés, a 100 méteres hatótáv és a változatos dallamok egyedülálló élményt nyújtanak, miközben a kinetikus nyomógomb hosszú távú, környezetbarát megoldást biztosít.
Elem nélküli technológia a fenntartható használatért
A Home DBK 1000AC csengő egyik legkiemelkedőbb tulajdonsága, hogy soha nem igényel elemet. A kinetikus energia működteti a nyomógombot, így nincs szükség elemcserére, ami nemcsak kényelmes, hanem környezetbarát megoldás is. Ez a technológia garantálja, hogy hideg időben is megbízhatóan működjön.
Rugalmas és testre szabható használat
A készülék tanuló funkcióval rendelkezik, amely lehetővé teszi több nyomógomb vagy csengő párosítását egy rendszeren belül. Ez különösen praktikus, ha nagyobb otthont szeretne lefedni, vagy több helyiségben is figyelmeztetést kíván használni. A csengő 36 változatos dallamot kínál, így mindenki megtalálhatja az ízlésének megfelelőt, a hangerő pedig 3 fokozatban állítható, hogy az otthon minden részén jól hallható legyen.
Stílusos és praktikus kialakítás
A csengő kék LED visszajelzője és a csengetéskor villogó fényjelzés nemcsak vizuálisan figyelemfelkeltő, hanem halláskárosultak számára is ideális megoldás.
Megbízható működés nagy hatótávval
A készülék 433,9 MHz-es működési frekvenciája erősen zavarvédett, így biztosítja, hogy más csengők ne okozzanak interferenciát. A csengő hatótávolsága nyílt terepen akár 100 méter, így bármilyen otthoni vagy kisebb irodai környezetben megbízhatóan használható.
Könnyű telepítés és alacsony energiafogyasztás
A csengő tápellátása közvetlenül a 230 V-os hálózatról történik, mindössze 0,9 W fogyasztással, míg a nyomógombot a kinetikus energia működteti, így semmi másra nincs szükség a használathoz. A csengő kompakt mérete 125 x 75 x 27 mm, a nyomógomb pedig 94 x 46 x 22 mm, ami lehetővé teszi a diszkrét, helytakarékos elhelyezést.
Miért érdemes a Home DBK 1000AC csengőt választania?
Ez a csengő nemcsak technológiai innovációt, hanem kényelmet, rugalmasságot és fenntarthatóságot is kínál. Az elem nélküli működés, a stílusos kialakítás, valamint a könnyű telepíthetőség révén tökéletes választás minden otthon számára.
Hozzon létre egy modern, környezetbarát figyelmeztető rendszert a Home DBK 1000AC vezeték nélküli csengővel, amely egyesíti az innovációt és a praktikumot!</t>
        </is>
      </c>
    </row>
    <row r="652">
      <c r="A652" s="3" t="inlineStr">
        <is>
          <t>DC311N</t>
        </is>
      </c>
      <c r="B652" s="2" t="inlineStr">
        <is>
          <t>Honeywell Home DC311N vezeték nélküli csengő, 150m hatótávolság, 4 dallam, IP55 védett nyomógomb, elemes tápellátás</t>
        </is>
      </c>
      <c r="C652" s="1" t="n">
        <v>16290.0</v>
      </c>
      <c r="D652" s="7" t="n">
        <f>HYPERLINK("https://www.somogyi.hu/product/honeywell-home-dc311n-vezetek-nelkuli-csengo-150m-hatotavolsag-4-dallam-ip55-vedett-nyomogomb-elemes-tapellatas-dc311n-17292","https://www.somogyi.hu/product/honeywell-home-dc311n-vezetek-nelkuli-csengo-150m-hatotavolsag-4-dallam-ip55-vedett-nyomogomb-elemes-tapellatas-dc311n-17292")</f>
        <v>0.0</v>
      </c>
      <c r="E652" s="7" t="n">
        <f>HYPERLINK("https://www.somogyi.hu/data/img/product_main_images/small/17292.jpg","https://www.somogyi.hu/data/img/product_main_images/small/17292.jpg")</f>
        <v>0.0</v>
      </c>
      <c r="F652" s="2" t="inlineStr">
        <is>
          <t>5004100965349</t>
        </is>
      </c>
      <c r="G652" s="4" t="inlineStr">
        <is>
          <t>Honeywell Home DC311N vezeték nélküli csengő – Innovatív megoldás a mindennapok kényelméért!
Feltette már magának a kérdést, hogy miként érheti el a tökéletes harmóniát az esztétikus megjelenés, a megbízható működés és a modern technológia között otthonában? A Honeywell Home DC311N vezeték nélküli csengő ezt az ideális megoldást kínálja, legyen szó lakásáról, családi házáról vagy irodájáról.
Kiemelkedő hatótávolság és sokoldalúság
Az akár 150 méteres hatótávolság garantálja, hogy mindig tudni fogja, ha valaki csenget – még a legnagyobb otthonokban is. A készülék stabil kapcsolatot biztosít a 868 MHz-es frekvencián, így a jeladás zavarmentes és megbízható.
Elegáns és tartós kialakítás
A csengő modern, fehér-szürke színvilága harmonikusan illeszkedik bármilyen környezetbe. A nyomógomb IP55-ös védelemmel rendelkezik, amely víz- és porállóságot biztosít, így kültéri használatra is kiválóan alkalmas. Kompakt méreteinek köszönhetően (beltéri egység: 110 x 70 x 40 mm, nyomógomb: 70 x 30 x 15 mm) diszkréten elhelyezhető, mégis könnyen észrevehető.
Kényelmes használat és praktikus funkciók
A Honeywell DC311N csengő négy különböző dallamot kínál, amelyek közül könnyedén kiválaszthatja az Önnek leginkább tetszőt. A hangszóró maximum 80 dB hangerőt biztosít, így tisztán és jól hallható minden helyiségből. Az egyszerű beüzemeléshez a nyomógombhoz tartozó CR2032 elem már megtalálható a csomagban, a beltéri egység pedig négy darab AA elemmel működik (nem tartozék).
Miért válassza ezt a csengőt?
- Egyszerű telepítés: nincs szükség vezetékekre, így bármilyen helyre könnyedén felszerelhető.
- Hosszú élettartam: tartós anyagok és alacsony energiafogyasztás jellemzi.
- Sokoldalú alkalmazhatóság: akár lakásba, akár házba vagy irodába is ideális.
- Modern technológia: erős jel, stabil működés minden körülmények között.
Hozza el otthonába a kényelem és a technológia tökéletes kombinációját, és tapasztalja meg a Honeywell Home minőséget!</t>
        </is>
      </c>
    </row>
    <row r="653">
      <c r="A653" s="6" t="inlineStr">
        <is>
          <t xml:space="preserve">   Lakáskiegészítő / Időjárás-állomás, hőmérő</t>
        </is>
      </c>
      <c r="B653" s="6" t="inlineStr">
        <is>
          <t/>
        </is>
      </c>
      <c r="C653" s="6" t="inlineStr">
        <is>
          <t/>
        </is>
      </c>
      <c r="D653" s="6" t="inlineStr">
        <is>
          <t/>
        </is>
      </c>
      <c r="E653" s="6" t="inlineStr">
        <is>
          <t/>
        </is>
      </c>
      <c r="F653" s="6" t="inlineStr">
        <is>
          <t/>
        </is>
      </c>
      <c r="G653" s="6" t="inlineStr">
        <is>
          <t/>
        </is>
      </c>
    </row>
    <row r="654">
      <c r="A654" s="3" t="inlineStr">
        <is>
          <t>HCW 25</t>
        </is>
      </c>
      <c r="B654" s="2" t="inlineStr">
        <is>
          <t>Home HCW 25 időjárás-állomás külső jeladóval, negatív, fehér LCD kijelző, beltéri hőmérséklet és páratartalom, digitális óra, naptár</t>
        </is>
      </c>
      <c r="C654" s="1" t="n">
        <v>25190.0</v>
      </c>
      <c r="D654" s="7" t="n">
        <f>HYPERLINK("https://www.somogyi.hu/product/home-hcw-25-idojaras-allomas-kulso-jeladoval-negativ-feher-lcd-kijelzo-belteri-homerseklet-es-paratartalom-digitalis-ora-naptar-hcw-25-16264","https://www.somogyi.hu/product/home-hcw-25-idojaras-allomas-kulso-jeladoval-negativ-feher-lcd-kijelzo-belteri-homerseklet-es-paratartalom-digitalis-ora-naptar-hcw-25-16264")</f>
        <v>0.0</v>
      </c>
      <c r="E654" s="7" t="n">
        <f>HYPERLINK("https://www.somogyi.hu/data/img/product_main_images/small/16264.jpg","https://www.somogyi.hu/data/img/product_main_images/small/16264.jpg")</f>
        <v>0.0</v>
      </c>
      <c r="F654" s="2" t="inlineStr">
        <is>
          <t>5999084942960</t>
        </is>
      </c>
      <c r="G654" s="4" t="inlineStr">
        <is>
          <t>Olyan időjárás-állomást keres, amely nemcsak praktikus, de esztétikus is, és pontos adatokat nyújt otthona vagy irodája klímájáról?
A Home HCW 25 időjárás-állomás külső jeladóval tökéletes választás azok számára, akik megbízható információkat szeretnének kapni a hőmérsékletről, páratartalomról, valamint az időjárási trendekről. Az előre jelzett időjárás szimbólumok, a hőmérsékleti riasztás, és a letisztult negatív fehér LCD kijelző garantálja, hogy a készülék nemcsak hasznos, de elegáns kiegészítője is lesz otthonának.
Pontos külső és belső klímaadatok
Az időjárás-állomás pontosan méri a beltéri és kültéri hőmérsékletet és páratartalmat, így mindig tisztában lehet az aktuális környezeti állapotokkal. A kültéri méréseket a tartozék HCKK 08 vezeték nélküli jeladó biztosítja, amely akár 60 méteres hatótávolságon belül is stabil kapcsolatot garantál. A készülék egyszerre 3 külső jeladót képes kezelni, így több helyszínen is ellenőrizheti a környezeti adatokat.
A hőmérséklet trendek kijelzése lehetővé teszi, hogy könnyen előrejelezze a változásokat, míg a riasztási határértékek beállítása figyelmeztetést nyújt, ha a hőmérséklet eléri a megadott értékeket.
Elegáns kijelző és időfunkciók
A negatív fehér LCD kijelző tiszta, modern megjelenést biztosít, amely bármilyen környezetben esztétikus látványt nyújt. A kijelzőn nemcsak az időjárási adatokat, hanem a digitális órát és naptárt is könnyedén nyomon követheti. A készülék 12/24 órás időformátumban működik, és két ébresztés funkcióval is rendelkezik, amelyhez állítható szundi funkció társul (3–20 perc).
Egyszerű használat és rugalmas tápellátás
A készülék telepítése gyors és egyszerű, így szakértelem nélkül is azonnal használatba vehető. Az időjárás-állomás hálózati adapterről (tartozék) vagy 3 darab AAA elemmel (nem tartozék) is működtethető, a külső jeladó pedig szintén elemről üzemel.
Miért érdemes a Home HCW 25 időjárás-állomást választani?
– Teljeskörű adatkövetés: Pontos külső és belső hőmérséklet- és páratartalom-kijelzés, hőmérséklet-trendek és riasztási funkciók.
– Több helyszín mérése: Egyidejűleg akár 3 külső jeladót kezelhet, a tartozék jeladóval azonnal üzembe helyezhető.
– Modern dizájn: A negatív fehér LCD kijelző esztétikus és jól olvasható.
– Időkezelés: Digitális óra, naptár, két ébresztés és állítható szundi funkció.
– Rugalmas működés: Hálózati adapterrel vagy elemekkel is üzemeltethető, így könnyen elhelyezhető bárhol.
Válassza a Home HCW 25 időjárás-állomást, és tegye kényelmesebbé életét a pontos időjárási adatok és a modern technológia segítségével!</t>
        </is>
      </c>
    </row>
    <row r="655">
      <c r="A655" s="3" t="inlineStr">
        <is>
          <t>HCKK 08</t>
        </is>
      </c>
      <c r="B655" s="2" t="inlineStr">
        <is>
          <t>Home HCKK 08 külső jeladó HCW 25 időjárás-állomáshoz, külső hőmérséklet és páratartalom jeladó, kiválasztható 3 csatorna, 60 m hatótávolság</t>
        </is>
      </c>
      <c r="C655" s="1" t="n">
        <v>3390.0</v>
      </c>
      <c r="D655" s="7" t="n">
        <f>HYPERLINK("https://www.somogyi.hu/product/home-hckk-08-kulso-jelado-hcw-25-idojaras-allomashoz-kulso-homerseklet-es-paratartalom-jelado-kivalaszthato-3-csatorna-60-m-hatotavolsag-hckk-08-16309","https://www.somogyi.hu/product/home-hckk-08-kulso-jelado-hcw-25-idojaras-allomashoz-kulso-homerseklet-es-paratartalom-jelado-kivalaszthato-3-csatorna-60-m-hatotavolsag-hckk-08-16309")</f>
        <v>0.0</v>
      </c>
      <c r="E655" s="7" t="n">
        <f>HYPERLINK("https://www.somogyi.hu/data/img/product_main_images/small/16309.jpg","https://www.somogyi.hu/data/img/product_main_images/small/16309.jpg")</f>
        <v>0.0</v>
      </c>
      <c r="F655" s="2" t="inlineStr">
        <is>
          <t>5999084943417</t>
        </is>
      </c>
      <c r="G655" s="4" t="inlineStr">
        <is>
          <t>Olyan külső jeladót keres, amely megbízható és pontos adatokat nyújt a hőmérsékletről és páratartalomról, és kompatibilis időjárás-állomásával?
A Home HCKK 08 külső jeladó kifejezetten a HCW 25 időjárás-állomáshoz készült, és ideális választás, ha precíz mérési adatokat szeretne gyűjteni a külső környezeti állapotokról. Az akár 60 méteres hatótávolság, a három csatorna kezelési lehetősége, valamint a 433 MHz-es működési frekvencia biztosítja a stabil adatátvitelt és a sokoldalú felhasználást.
Precíz adatok kültéren is
Ez a külső jeladó megbízhatóan méri a hőmérsékletet és a páratartalmat, amelyeket stabil kapcsolaton keresztül továbbít a kompatibilis HCW 25 időjárás-állomáshoz. Az akár 60 méteres hatótávolság lehetővé teszi, hogy a jeladót a kertben, teraszon vagy bármely kültéri helyszínen elhelyezze, miközben az adatok valós időben jelennek meg a beltéri egységen.
Többcsatornás működés a rugalmas használatért
A készülék három különböző csatornát képes kezelni, amely lehetőséget nyújt arra, hogy egyszerre több jeladót csatlakoztasson időjárás-állomásához. Ez különösen hasznos, ha több külső helyszínen szeretné monitorozni a környezeti adatokat.
Kompakt és praktikus kialakítás
A falra akasztható vagy asztallapra helyezhető kivitel biztosítja, hogy a készüléket egyszerűen elhelyezhesse a kívánt helyen. Kompakt mérete (48 x 82 x 26 mm) révén diszkréten illeszkedik bármilyen kültéri környezetbe, miközben modern és letisztult megjelenése is előnyére válik.
Egyszerű üzembe helyezés és energiahatékonyság
A jeladó működtetéséhez mindössze 2 darab AA elem szükséges (nem tartozék), így vezeték nélküli kialakítása révén könnyen telepíthető. Az energiatakarékos működés hosszú üzemidőt biztosít, ami minimalizálja az elemcserék gyakoriságát.
Miért érdemes a Home HCKK 08 jeladót választani?
– Pontos mérések: Hőmérséklet- és páratartalom-adatok valós időben, stabil adatkapcsolattal. – Rugalmas működés: Három csatorna kezelése, több helyszín monitorozásához. – Praktikus kialakítás: Falra akasztható vagy asztalra helyezhető, kompakt méretű eszköz. – Egyszerű üzemeltetés: Elemről működik, így vezeték nélküli és könnyen áthelyezhető. – Kompatibilitás: Kifejezetten a HCW 25 időjárás-állomáshoz tervezett eszköz.
Egészítse ki időjárás-állomását a Home HCKK 08 külső jeladóval, és biztosítsa a pontos, megbízható környezeti adatokat minden nap!</t>
        </is>
      </c>
    </row>
    <row r="656">
      <c r="A656" s="3" t="inlineStr">
        <is>
          <t>HC 16</t>
        </is>
      </c>
      <c r="B656" s="2" t="inlineStr">
        <is>
          <t>Home HC 16  hő és páratartalom-mérő, beltéri hőmérséklet és páratartalom maximum és minimum értékeinek kijelzése</t>
        </is>
      </c>
      <c r="C656" s="1" t="n">
        <v>4590.0</v>
      </c>
      <c r="D656" s="7" t="n">
        <f>HYPERLINK("https://www.somogyi.hu/product/home-hc-16-ho-es-paratartalom-mero-belteri-homerseklet-es-paratartalom-maximum-es-minimum-ertekeinek-kijelzese-hc-16-17562","https://www.somogyi.hu/product/home-hc-16-ho-es-paratartalom-mero-belteri-homerseklet-es-paratartalom-maximum-es-minimum-ertekeinek-kijelzese-hc-16-17562")</f>
        <v>0.0</v>
      </c>
      <c r="E656" s="7" t="n">
        <f>HYPERLINK("https://www.somogyi.hu/data/img/product_main_images/small/17562.jpg","https://www.somogyi.hu/data/img/product_main_images/small/17562.jpg")</f>
        <v>0.0</v>
      </c>
      <c r="F656" s="2" t="inlineStr">
        <is>
          <t>5999084955847</t>
        </is>
      </c>
      <c r="G656" s="4" t="inlineStr">
        <is>
          <t>Van már olyan eszköze, amely képes otthonának kényelmét azonnal javítani azáltal, hogy részletesen tájékoztat a beltéri környezetről? A Home HC 16 hő- és páratartalom-mérő pontosan ezt kínálja, segítve Önt abban, hogy mindig tökéletes legyen a lakás klímája.
Ez a praktikus készülék nem csupán a beltéri hőmérsékletet (-10 - +50 °C között) és a relatív páratartalmat (17%-99%) méri, de a maximum és minimum értékeket is rögzíti, így könnyedén nyomon követheti a napi ingadozásokat. A beépített óra 12 vagy 24 órás formátumban, a nap dátumával és a hét napjával együtt jeleníti meg az információkat, így mindig kéznél van minden fontos adat.
Kialakításának köszönhetően a Home HC 16 hőmérő falra akasztható vagy asztallapra helyezhető, így Ön döntheti el, hogy hol szeretné használni otthonában. A működéséhez szükséges 2 x 1,5 V (AAA) elemmel üzemeltetett készülék kompakt mérete (9,2 x 8 x 2,5 cm) lehetővé teszi, hogy diszkréten illeszkedjen bármilyen helyiségbe.
Tegye otthonát még komfortosabbá a Home HC 16 hő- és páratartalom-mérővel, amely segít optimalizálni a lakótér klímáját a nap minden órájában. Ne várjon tovább, szerezze be ezt a hasznos kis segítőt, és élvezze az egészséges, kellemes otthoni környezet előnyeit nap mint nap!</t>
        </is>
      </c>
    </row>
    <row r="657">
      <c r="A657" s="3" t="inlineStr">
        <is>
          <t>HC 12</t>
        </is>
      </c>
      <c r="B657" s="2" t="inlineStr">
        <is>
          <t>Home HC 12 vezetékes külső-belső hőmérő órával, bel- és kültéri hőmérséklet kijelzése, vezetékes hőmérő szonda, 12/24 órás időformátum, dátum</t>
        </is>
      </c>
      <c r="C657" s="1" t="n">
        <v>5090.0</v>
      </c>
      <c r="D657" s="7" t="n">
        <f>HYPERLINK("https://www.somogyi.hu/product/home-hc-12-vezetekes-kulso-belso-homero-oraval-bel-es-kulteri-homerseklet-kijelzese-vezetekes-homero-szonda-12-24-oras-idoformatum-datum-hc-12-12202","https://www.somogyi.hu/product/home-hc-12-vezetekes-kulso-belso-homero-oraval-bel-es-kulteri-homerseklet-kijelzese-vezetekes-homero-szonda-12-24-oras-idoformatum-datum-hc-12-12202")</f>
        <v>0.0</v>
      </c>
      <c r="E657" s="7" t="n">
        <f>HYPERLINK("https://www.somogyi.hu/data/img/product_main_images/small/12202.jpg","https://www.somogyi.hu/data/img/product_main_images/small/12202.jpg")</f>
        <v>0.0</v>
      </c>
      <c r="F657" s="2" t="inlineStr">
        <is>
          <t>5999084903848</t>
        </is>
      </c>
      <c r="G657" s="4" t="inlineStr">
        <is>
          <t>Olyan megbízható hőmérőt keres, amely pontos adatokat nyújt otthona belső és külső hőmérsékletéről, miközben praktikus óraként is funkcionál?
A Home HC 12 vezetékes külső-belső hőmérő tökéletes választás, ha átfogó képet szeretne kapni környezetéről. A készülék vezetékes hőmérő szondája, maximum és minimum értékek kijelzése, valamint 12/24 órás időformátuma biztosítja, hogy otthonában mindig pontos és megbízható információk álljanak rendelkezésére.
Pontos bel- és kültéri hőmérséklet-kijelzés
A hőmérő -9 és +50 °C közötti beltéri hőmérsékletet, valamint -50 és +70 °C közötti kültéri hőmérsékletet képes megjeleníteni, így mind beltérben, mind kültéren pontosan követheti a hőmérsékleti változásokat. A vezetékes hőmérő szonda 1,4 méteres hossza lehetővé teszi, hogy a kültéri érzékelőt optimálisan helyezze el, biztosítva a pontos méréseket.
A maximum és minimum értékek kijelzése segít nyomon követni a napi hőmérsékleti csúcsokat, legyen szó a szoba vagy a kültér klímájának monitorozásáról.
Praktikus időfunkciók
A készülék nemcsak hőmérőként, hanem digitális óraként is működik, amely 12/24 órás időformátummal és dátumkijelzéssel egészíti ki funkcióit. Ezáltal nemcsak a hőmérsékleti adatok, hanem a pontos idő és dátum is mindig szem előtt lehet.
Kompakt kialakítás és egyszerű elhelyezés
A falra akasztható vagy asztallapra helyezhető kialakítás biztosítja, hogy a készüléket otthona bármely pontján kényelmesen használhassa. A kompakt méret (73 x 123 x 22 mm) és a 41 x 53 mm-es kijelző könnyű leolvashatóságot biztosít, miközben a modern dizájn harmonikusan illeszkedik bármilyen környezetbe.
Energiatakarékos működés
A készülék 2 darab AAA elemmel működik (nem tartozék), amely gazdaságos és vezeték nélküli megoldást kínál, így nem kell kábelekkel bajlódnia.
Miért érdemes a Home HC 12 vezetékes hőmérőt választani?
– Pontos mérések: Beltéri és kültéri hőmérséklet-kijelzés széles mérési tartományban.
– Maximum és minimum értékek: Nyomon követheti a napi hőmérsékleti csúcsokat.
– Időkezelés: Digitális óra 12/24 órás formátummal és dátumkijelzéssel.
– Rugalmas elhelyezés: Falra akasztható vagy asztalra helyezhető kialakítás.
– Energiatakarékos: Elemről működik, így nincs szükség vezetékekre.
Válassza a Home HC 12 vezetékes külső-belső hőmérőt, és élvezze a pontos mérések, az egyszerű használat és a modern kialakítás előnyeit otthonában!</t>
        </is>
      </c>
    </row>
    <row r="658">
      <c r="A658" s="3" t="inlineStr">
        <is>
          <t>HCKK 09</t>
        </is>
      </c>
      <c r="B658" s="2" t="inlineStr">
        <is>
          <t>Home HCKK 09 külső jeladó HCW 28 időjárás-állomáshoz, külső hőmérséklet jeladó, 60 m hatótávolság, LCD kijelző</t>
        </is>
      </c>
      <c r="C658" s="1" t="n">
        <v>3390.0</v>
      </c>
      <c r="D658" s="7" t="n">
        <f>HYPERLINK("https://www.somogyi.hu/product/home-hckk-09-kulso-jelado-hcw-28-idojaras-allomashoz-kulso-homerseklet-jelado-60-m-hatotavolsag-lcd-kijelzo-hckk-09-16920","https://www.somogyi.hu/product/home-hckk-09-kulso-jelado-hcw-28-idojaras-allomashoz-kulso-homerseklet-jelado-60-m-hatotavolsag-lcd-kijelzo-hckk-09-16920")</f>
        <v>0.0</v>
      </c>
      <c r="E658" s="7" t="n">
        <f>HYPERLINK("https://www.somogyi.hu/data/img/product_main_images/small/16920.jpg","https://www.somogyi.hu/data/img/product_main_images/small/16920.jpg")</f>
        <v>0.0</v>
      </c>
      <c r="F658" s="2" t="inlineStr">
        <is>
          <t>5999084949525</t>
        </is>
      </c>
      <c r="G658" s="4" t="inlineStr">
        <is>
          <t>Pontos és megbízható külső hőmérőt keres, amely kompatibilis időjárás-állomásával?
A Home HCKK 09 külső jeladó kifejezetten a HCW 28 időjárás-állomáshoz tervezett eszköz, amely precíz mérési adatokkal és könnyen leolvasható LCD kijelzővel segíti az időjárás változásainak nyomon követését. Az akár 60 méteres hatótávolság és a három választható csatorna biztosítja a sokoldalú és kényelmes használatot.
Stabil adatátvitel kültérről beltérbe
A 433,92 MHz-es működési frekvencia garantálja a stabil és zavartalan adatkapcsolatot a külső jeladó és a HCW 28 időjárás-állomás között. Ez a jeladó pontosan méri a külső hőmérsékletet, és a kapott adatokat valós időben továbbítja a beltéri egységhez, hogy Ön mindig naprakész információval rendelkezzen a külső környezet állapotáról.
LCD kijelző a gyors és egyszerű leolvashatóságért
A készülék beépített LCD kijelzője lehetővé teszi, hogy a mért adatokat közvetlenül a jeladón is megtekinthesse. Ez különösen praktikus, ha gyors ellenőrzésre van szüksége anélkül, hogy a beltéri egységet használná.
Több csatorna és rugalmas elhelyezés
A három választható csatorna lehetővé teszi, hogy egyszerre több jeladót csatlakoztasson időjárás-állomásához. Ez különösen hasznos nagyobb területeken, például kertekben vagy udvarokon, ahol több mérési pontot szeretne monitorozni. A falra akasztható vagy asztallapra helyezhető kivitel maximális rugalmasságot nyújt az elhelyezésben.
Energiahatékony működés
A jeladó működtetéséhez mindössze 2 darab AAA elem szükséges (nem tartozék), ami hosszú üzemidőt biztosít. Az egyszerű elemcsere és a vezeték nélküli kialakítás miatt a készülék telepítése és karbantartása rendkívül kényelmes.
Miért válassza a Home HCKK 09 külső jeladót?
– Megbízható adatátvitel: Pontos hőmérsékletmérés 60 méteres hatótávolságon belül. – Kényelmes leolvashatóság: Beépített LCD kijelző a gyors és egyszerű adatmegtekintéshez. – Sokoldalú használat: Három csatorna kezelése és rugalmas elhelyezési lehetőségek. – Energiatakarékos működés: Elemről üzemel, ami egyszerű telepítést és hosszú üzemidőt biztosít. – Kompakt kialakítás: Modern és praktikus méret, amely diszkréten illeszkedik bármilyen kültéri környezetbe.
Egészítse ki HCW 28 időjárás-állomását a Home HCKK 09 külső jeladóval, és élvezze a pontos és megbízható adatokat minden nap!</t>
        </is>
      </c>
    </row>
    <row r="659">
      <c r="A659" s="3" t="inlineStr">
        <is>
          <t>HCKK 10</t>
        </is>
      </c>
      <c r="B659" s="2" t="inlineStr">
        <is>
          <t>Home HCKK 10 külső jeladó HCW 01 időjárás-állomáshoz, külső hőmérséklet és páratartalom jeladó, 80 m hatótávolság, kiválasztható 3 csatorna</t>
        </is>
      </c>
      <c r="C659" s="1" t="n">
        <v>3390.0</v>
      </c>
      <c r="D659" s="7" t="n">
        <f>HYPERLINK("https://www.somogyi.hu/product/home-hckk-10-kulso-jelado-hcw-01-idojaras-allomashoz-kulso-homerseklet-es-paratartalom-jelado-80-m-hatotavolsag-kivalaszthato-3-csatorna-hckk-10-17546","https://www.somogyi.hu/product/home-hckk-10-kulso-jelado-hcw-01-idojaras-allomashoz-kulso-homerseklet-es-paratartalom-jelado-80-m-hatotavolsag-kivalaszthato-3-csatorna-hckk-10-17546")</f>
        <v>0.0</v>
      </c>
      <c r="E659" s="7" t="n">
        <f>HYPERLINK("https://www.somogyi.hu/data/img/product_main_images/small/17546.jpg","https://www.somogyi.hu/data/img/product_main_images/small/17546.jpg")</f>
        <v>0.0</v>
      </c>
      <c r="F659" s="2" t="inlineStr">
        <is>
          <t>5999084955687</t>
        </is>
      </c>
      <c r="G659" s="4" t="inlineStr">
        <is>
          <t>Szeretné pontosan nyomon követni otthona vagy kertje hőmérsékletét és páratartalmát egy megbízható külső jeladó segítségével?
A Home HCKK 10 külső jeladó kifejezetten a HCW 01 időjárás-állomáshoz tervezett eszköz, amely pontos és valós idejű adatokat biztosít a külső környezeti állapotokról. Az akár 80 méteres hatótávolság, a három választható csatorna, valamint a stabil adatátvitel révén ideális választás az időjárás pontos monitorozásához.
Stabil és pontos adatátvitel kültérről beltérbe
A 433,92 MHz-es működési frekvencia biztosítja, hogy a jeladó zökkenőmentesen kommunikáljon a kompatibilis HCW 01 időjárás-állomással. A jeladó precízen méri a külső hőmérsékletet és páratartalmat, így folyamatosan naprakész információkat kap otthona vagy udvara környezeti állapotairól. Az akár 80 méteres hatótávolság lehetővé teszi, hogy a jeladót a kert bármely pontján elhelyezze, miközben az adatok valós időben érkeznek a beltéri egységhez.
Többcsatornás működés a szélesebb lefedettség érdekében
A készülék akár három csatornát is képes kezelni, amely lehetővé teszi, hogy egyszerre több jeladót csatlakoztasson egyetlen időjárás-állomáshoz. Ez különösen hasznos nagyobb területek monitorozásához, például kertekben, teraszokon vagy udvarokon.
Rugalmas elhelyezés és egyszerű üzembe helyezés
A falra akasztható vagy asztallapra helyezhető kialakítás lehetőséget ad arra, hogy a készüléket az adott helyszín adottságaihoz igazodva helyezze el. A jeladó kompakt mérete révén diszkréten illeszkedik bármilyen kültéri környezetbe, miközben modern megjelenése is előnyére válik.
Energiatakarékos működés
A jeladó működtetéséhez mindössze 2 darab AAA elem szükséges (nem tartozék), ami hosszú üzemidőt és alacsony karbantartási igényt biztosít. A telepítés egyszerű, így a készülék gyorsan használatra kész.
Miért érdemes a Home HCKK 10 külső jeladót választani?
– Pontos mérések: Hőmérséklet- és páratartalom-adatok, amelyek segítenek a környezeti változások nyomon követésében. – Sokoldalú használat: Három csatorna kezelése, nagyobb területek monitorozására. – Rugalmas elhelyezés: Falra akasztható vagy asztalra helyezhető kialakítás a maximális kényelem érdekében. – Megbízható működés: Stabil adatátvitel akár 80 méteres hatótávolságon belül. – Energiatakarékos: Elemről üzemeltethető, így nincs szükség bonyolult kábelezésre.
Egészítse ki HCW 01 időjárás-állomását a Home HCKK 10 külső jeladóval, és élvezze a pontos, valós idejű információk nyújtotta kényelmet minden nap!</t>
        </is>
      </c>
    </row>
    <row r="660">
      <c r="A660" s="3" t="inlineStr">
        <is>
          <t>HCKK 04</t>
        </is>
      </c>
      <c r="B660" s="2" t="inlineStr">
        <is>
          <t>Home HCKK 04 külső jeladó HCW 21 és HCW 26 időjárás-állomásokhoz, 60 m hatótávolság, külső hőmérséklet és páratartalom-jeladó, LCD kijelző</t>
        </is>
      </c>
      <c r="C660" s="1" t="n">
        <v>3390.0</v>
      </c>
      <c r="D660" s="7" t="n">
        <f>HYPERLINK("https://www.somogyi.hu/product/home-hckk-04-kulso-jelado-hcw-21-es-hcw-26-idojaras-allomasokhoz-60-m-hatotavolsag-kulso-homerseklet-es-paratartalom-jelado-lcd-kijelzo-hckk-04-12025","https://www.somogyi.hu/product/home-hckk-04-kulso-jelado-hcw-21-es-hcw-26-idojaras-allomasokhoz-60-m-hatotavolsag-kulso-homerseklet-es-paratartalom-jelado-lcd-kijelzo-hckk-04-12025")</f>
        <v>0.0</v>
      </c>
      <c r="E660" s="7" t="n">
        <f>HYPERLINK("https://www.somogyi.hu/data/img/product_main_images/small/12025.jpg","https://www.somogyi.hu/data/img/product_main_images/small/12025.jpg")</f>
        <v>0.0</v>
      </c>
      <c r="F660" s="2" t="inlineStr">
        <is>
          <t>5999084902377</t>
        </is>
      </c>
      <c r="G660" s="4" t="inlineStr">
        <is>
          <t>Olyan megbízható külső jeladót keres, amely pontos adatokat nyújt a hőmérsékletről és páratartalomról, miközben tökéletesen illeszkedik időjárás-állomásához?
A Home HCKK 04 külső jeladó kifejezetten a HCW 21 és HCW 26 időjárás-állomásokhoz tervezett eszköz, amely akár 60 méteres hatótávolságával, LCD kijelzőjével, és pontos mérési adataival teszi teljessé az időjárás-monitoring rendszerét.
Pontos mérések külső környezetben
A jeladó a 433,92 MHz-es frekvencián működik, amely biztosítja a stabil és zavartalan adatátvitelt az időjárás-állomás beltéri egységéhez. A készülék képes a külső hőmérséklet és a páratartalom pontos mérésére, így mindig naprakész információkat kap a környezetéről. Az LCD kijelző révén a mért adatok közvetlenül a jeladón is leolvashatók, így gyors és egyszerű tájékozódást biztosít.
Rugalmas elhelyezés és több csatorna kezelése
A jeladó falra akasztható, vagy akár asztallapra helyezhető, így a környezet adottságaihoz igazodva szabadon elhelyezhető. A készülék három különböző csatornát is képes kezelni, amely lehetőséget nyújt több jeladó integrálására, ha egyszerre több külső helyszínről szeretne adatokat gyűjteni.
Egyszerű tápellátás és energiahatékonyság
A jeladó mindössze 2 darab AAA elemmel működik (nem tartozék), így vezeték nélküli kialakítása révén bármelyik kültéri helyszínen könnyen telepíthető. Az energiatakarékos működés biztosítja, hogy hosszú ideig használhassa anélkül, hogy gyakran kellene az elemek cseréjével foglalkoznia.
Miért érdemes a Home HCKK 04 jeladót választani?
– Pontos adatok: Külső hőmérséklet- és páratartalom-mérés, amelyek segítik a környezeti állapotok folyamatos nyomon követését. – Rugalmas elhelyezés: Falra akasztható vagy asztallapra helyezhető kialakítás a különböző igényekhez. – Többcsatornás működés: Három csatorna kezelésére képes, amely egyszerre több helyszín monitorozását is lehetővé teszi. – LCD kijelző: Az adatok azonnal leolvashatók a jeladóról is, így gyorsan hozzáférhetők. – Egyszerű üzemeltetés: Elemről működik, ami könnyű telepítést és karbantartást biztosít.
Egészítse ki időjárás-állomását a Home HCKK 04 külső jeladóval, és élvezze a pontos, megbízható adatokat minden nap!</t>
        </is>
      </c>
    </row>
    <row r="661">
      <c r="A661" s="3" t="inlineStr">
        <is>
          <t>HCW 01</t>
        </is>
      </c>
      <c r="B661" s="2" t="inlineStr">
        <is>
          <t>Home HCW 01 időjárás-állomás külső jeladóval, várható időjárás-szimbólumok, ébresztés szundi funkcióval, maximum és minimum értékek kijelzése</t>
        </is>
      </c>
      <c r="C661" s="1" t="n">
        <v>11490.0</v>
      </c>
      <c r="D661" s="7" t="n">
        <f>HYPERLINK("https://www.somogyi.hu/product/home-hcw-01-idojaras-allomas-kulso-jeladoval-varhato-idojaras-szimbolumok-ebresztes-szundi-funkcioval-maximum-es-minimum-ertekek-kijelzese-hcw-01-17547","https://www.somogyi.hu/product/home-hcw-01-idojaras-allomas-kulso-jeladoval-varhato-idojaras-szimbolumok-ebresztes-szundi-funkcioval-maximum-es-minimum-ertekek-kijelzese-hcw-01-17547")</f>
        <v>0.0</v>
      </c>
      <c r="E661" s="7" t="n">
        <f>HYPERLINK("https://www.somogyi.hu/data/img/product_main_images/small/17547.jpg","https://www.somogyi.hu/data/img/product_main_images/small/17547.jpg")</f>
        <v>0.0</v>
      </c>
      <c r="F661" s="2" t="inlineStr">
        <is>
          <t>5999084955694</t>
        </is>
      </c>
      <c r="G661" s="4" t="inlineStr">
        <is>
          <t>Szeretne mindig pontosan tisztában lenni az időjárással és otthona klímájával, egy praktikus eszköz segítségével?
A Home HCW 01 időjárás-állomás külső jeladóval ideális választás azok számára, akik megbízható információkat szeretnének kapni a hőmérsékletről, páratartalomról és az időjárási viszonyokról. A készülék várható időjárás szimbólumokkal, Holdfázis kijelzéssel, valamint maximum és minimum értékek rögzítésével segít, hogy mindig naprakész legyen.
Átfogó időjárási adatok egyetlen eszközből
A készülék nemcsak a külső és belső hőmérsékletet (-40 és +60 °C, illetve -10 és +50 °C között), hanem a páratartalom szintjét is pontosan méri (20-95% RH külső, illetve 1-99% RH belső tartományban). Az adatok a maximum és minimum értékek kijelzésével kiegészítve még teljesebb képet adnak otthona környezeti állapotáról.
A tartozék HCKK 10 külső jeladó akár 60 méteres hatótávolságban biztosítja az adatok továbbítását a beltéri egységhez. A készülék egy időben akár 3 külső jeladó kezelésére is képes, így több helyszínen mérhet hőmérsékletet és páratartalmat.
Időjárás-szimbólumok és Holdfázis kijelzés
A beépített várható időjárás szimbólumok segítenek előre jelezni a közelgő időjárási változásokat, míg a Holdfázis kijelző hasznos kiegészítést nyújt, különösen a természetkedvelők számára. Ezek a funkciók nemcsak praktikusak, de esztétikus megjelenést is kölcsönöznek a készüléknek.
Ébresztőóra szundi funkcióval és rugalmas elhelyezés
A 12/24 órás időformátum mellett az időjárás-állomás beépített ébresztőóra funkcióval is rendelkezik, amely szundi funkcióval (5–60 perc) teszi kényelmessé a reggeli ébredést. A beltéri egység falra akasztható, vagy asztallapra helyezhető, így otthona bármely pontján kényelmesen elhelyezhető.
Energiahatékony működés
A külső jeladó és a beltéri egység működéséhez mindössze 2-2 darab elem (nem tartozék) szükséges, ami vezeték nélküli és praktikus használatot tesz lehetővé. A kompakt kialakítású eszköz diszkréten elhelyezhető, miközben a kijelző mérete (50 x 80 mm) biztosítja a könnyű leolvashatóságot.
Miért érdemes a Home HCW 01 időjárás-állomást választani?
– Átfogó mérési adatok: Pontos hőmérséklet és páratartalom kijelzés külső és belső környezetben. – Praktikus funkciók: Várható időjárás szimbólumok, Holdfázis és maximum-minimum értékek kijelzése. – Több helyszín kezelése: Egyidejűleg akár 3 külső jeladó kezelésére alkalmas. – Rugalmas elhelyezés: Falra akasztható vagy asztallapra helyezhető kialakítás. – Energiatakarékos működés: Elemről üzemel, így vezeték nélküli és könnyen áthelyezhető.
Hozzon precíz és megbízható megoldást otthonába a Home HCW 01 időjárás-állomással, és legyen mindig tisztában az aktuális időjárási és környezeti viszonyokkal!</t>
        </is>
      </c>
    </row>
    <row r="662">
      <c r="A662" s="3" t="inlineStr">
        <is>
          <t>HC 13</t>
        </is>
      </c>
      <c r="B662" s="2" t="inlineStr">
        <is>
          <t>Home HC 13 hő- és páratartalom-mérő ébresztőórával, beltéri hőmérséklet kijelzése, ébresztés szundifunkcióval</t>
        </is>
      </c>
      <c r="C662" s="1" t="n">
        <v>5090.0</v>
      </c>
      <c r="D662" s="7" t="n">
        <f>HYPERLINK("https://www.somogyi.hu/product/home-hc-13-ho-es-paratartalom-mero-ebresztooraval-belteri-homerseklet-kijelzese-ebresztes-szundifunkcioval-hc-13-12203","https://www.somogyi.hu/product/home-hc-13-ho-es-paratartalom-mero-ebresztooraval-belteri-homerseklet-kijelzese-ebresztes-szundifunkcioval-hc-13-12203")</f>
        <v>0.0</v>
      </c>
      <c r="E662" s="7" t="n">
        <f>HYPERLINK("https://www.somogyi.hu/data/img/product_main_images/small/12203.jpg","https://www.somogyi.hu/data/img/product_main_images/small/12203.jpg")</f>
        <v>0.0</v>
      </c>
      <c r="F662" s="2" t="inlineStr">
        <is>
          <t>5999084903855</t>
        </is>
      </c>
      <c r="G662" s="4" t="inlineStr">
        <is>
          <t>Olyan praktikus és sokoldalú eszközt keres, amely egyszerre méri a hőmérsékletet, páratartalmat, és még ébreszt is?
A Home HC 13 hő- és páratartalom-mérő ébresztőórával tökéletes választás mindazok számára, akik szeretik a kompakt és multifunkciós készülékeket. Ez az eszköz egyesíti a pontos hőmérséklet- és páratartalom-mérést, a napi időkezelést, valamint a megbízható ébresztést – mindezt modern és stílusos kivitelben.
Pontos mérési adatok a beltéri klímához
A készülék pontosan méri a beltéri hőmérsékletet -9 °C és +50 °C között, valamint a páratartalmat 20% és 90% RH között. A maximum és minimum értékek kijelzése lehetővé teszi, hogy mindig naprakész legyen a szoba klímájával kapcsolatban, így könnyen ellenőrizheti, hogy otthona optimális körülményeket biztosít-e.
A hőmérséklet- és páratartalom-kijelző jól látható és könnyen értelmezhető, ezért a készülék nemcsak hasznos, de kényelmesen használható is a mindennapokban.
Többfunkciós időkezelés és ébresztés
Az órakijelző 12/24 órás időformátummal, dátummal és a hét napjának megjelenítésével segíti a pontos időkezelést. Az ébresztőóra szundifunkcióval (8 perc) biztosítja, hogy mindig időben kezdje a napját, miközben a modern funkciók révén kényelmesen alkalmazkodik az Ön napi ritmusához.
Kompakt kialakítás és sokoldalú elhelyezési lehetőségek
A készülék kompakt mérete (73 x 123 x 22 mm) lehetővé teszi, hogy akár kis helyen is elférjen, miközben modern, letisztult megjelenése stílusosan illeszkedik bármilyen enteriőrbe. Az eszköz falra akasztható vagy asztallapra helyezhető, így a lehetőségek széles választékát kínálja, hogy Ön mindig a legkényelmesebb módon használhassa.
Energiahatékony működés
A készülék működéséhez mindössze két AAA elem szükséges (nem tartozék), így nemcsak energiatakarékos, de vezeték nélküli kialakítása révén rendkívül könnyen áthelyezhető a lakás bármely pontjára.
Miért érdemes a Home HC 13 hő- és páratartalom-mérő ébresztőórát választani?
– Pontos klímamérés: Hőmérséklet és páratartalom kijelzés a maximális kényelem érdekében. – Többfunkciós időkezelés: Dátum, időformátum és ébresztőóra szundifunkcióval. – Kompakt kialakítás: Kis méret, modern design, falra akasztható vagy asztalra helyezhető. – Energiatakarékos működés: Elemről üzemeltethető, így vezeték nélküli és könnyen áthelyezhető.
Hozzon okos és praktikus megoldásokat otthonába a Home HC 13 hő- és páratartalom-mérő ébresztőórával, és élvezze a modern technológia kényelmét minden nap!</t>
        </is>
      </c>
    </row>
    <row r="663">
      <c r="A663" s="3" t="inlineStr">
        <is>
          <t>HC 11</t>
        </is>
      </c>
      <c r="B663" s="2" t="inlineStr">
        <is>
          <t>Home HC 11 vezeték nélküli külső-belső hőmérő ébresztőórával, 60 m hatótávolság, külső jeladó kezelése, maximum és minimum értékek kijelzése</t>
        </is>
      </c>
      <c r="C663" s="1" t="n">
        <v>8590.0</v>
      </c>
      <c r="D663" s="7" t="n">
        <f>HYPERLINK("https://www.somogyi.hu/product/home-hc-11-vezetek-nelkuli-kulso-belso-homero-ebresztooraval-60-m-hatotavolsag-kulso-jelado-kezelese-maximum-es-minimum-ertekek-kijelzese-hc-11-12201","https://www.somogyi.hu/product/home-hc-11-vezetek-nelkuli-kulso-belso-homero-ebresztooraval-60-m-hatotavolsag-kulso-jelado-kezelese-maximum-es-minimum-ertekek-kijelzese-hc-11-12201")</f>
        <v>0.0</v>
      </c>
      <c r="E663" s="7" t="n">
        <f>HYPERLINK("https://www.somogyi.hu/data/img/product_main_images/small/12201.jpg","https://www.somogyi.hu/data/img/product_main_images/small/12201.jpg")</f>
        <v>0.0</v>
      </c>
      <c r="F663" s="2" t="inlineStr">
        <is>
          <t>5999084903831</t>
        </is>
      </c>
      <c r="G663" s="4" t="inlineStr">
        <is>
          <t>Szeretné mindig pontosan tudni, milyen a hőmérséklet odakint és bent, egyetlen praktikus készülékkel?
A Home HC 11 vezeték nélküli külső-belső hőmérő ébresztőórával egyesíti a precíz mérési adatokat, a modern dizájnt és a kényelmes használatot. Az akár 60 méteres hatótávolságú külső jeladó, valamint a maximum és minimum értékek kijelzése garantálja, hogy mindig pontos képet kapjon otthona környezeti állapotáról.
Pontos külső és belső hőmérséklet-kijelzés
A készülék egyszerre méri a belső hőmérsékletet -9 és +50 °C között, valamint a külső hőmérsékletet -20 és +60 °C között, így biztosítva a teljes körű információt. A tartozék külső jeladó segítségével a mérések akár 60 méteres távolságból is pontosak, így ideális megoldás kertek, teraszok vagy külső helyiségek hőmérsékletének ellenőrzésére is.
A maximum és minimum értékek kijelzése lehetővé teszi, hogy könnyen nyomon kövesse a hőmérséklet változásait a nap folyamán.
Többfunkciós időkezelés és kompakt kialakítás
A készülék 12/24 órás időformátummal rendelkezik, amely a pontos idő kijelzésén túl segít napi rutinja kezelésében is. Az eszköz falra akasztható vagy asztallapra helyezhető, így rugalmasan elhelyezhető a lakás bármely pontján. A beltéri egység kompakt mérete (73 x 123 x 22 mm) és a letisztult kijelző (41 x 53 mm) könnyű leolvashatóságot biztosít.
A külső jeladó szintén kompakt méretű (60 x 96 x 26 mm), így diszkréten elhelyezhető bármilyen kültéri környezetben.
Energiahatékony működés
A beltéri egység és a külső jeladó összesen 4 darab AAA elemmel működik (nem tartozék), amely gazdaságos és vezeték nélküli megoldást kínál. Ez lehetővé teszi, hogy szabadon helyezze el a készüléket anélkül, hogy kábelek korlátoznák.
Európai szabványoknak megfelelő kialakítás
A Home HC 11 készülék teljes mértékben megfelel az Európai Unió előírásainak, így biztonságosan használható a tagállamokban.
Miért érdemes a Home HC 11 külső-belső hőmérőt választani?
– Kétfunkciós hőmérő: Pontos belső és külső hőmérséklet-kijelzés akár 60 méteres hatótávolsággal. – Maximum és minimum értékek: Könnyen követheti a hőmérsékleti ingadozásokat. – Praktikus időkezelés: 12/24 órás formátum, amely segíti napi időbeosztását. – Kompakt és modern kialakítás: Kis mérete és falra akasztható vagy asztalra helyezhető opciója bármilyen környezethez illeszkedik. – Energiatakarékos működés: Vezeték nélküli kialakítás 4 AAA elemmel, kábelek nélkül.
Válassza a Home HC 11 vezeték nélküli hőmérőt, és tegye egyszerűbbé mindennapjait a pontos adatok és a megbízható működés segítségével!</t>
        </is>
      </c>
    </row>
    <row r="664">
      <c r="A664" s="6" t="inlineStr">
        <is>
          <t xml:space="preserve">   Lakáskiegészítő / Óra</t>
        </is>
      </c>
      <c r="B664" s="6" t="inlineStr">
        <is>
          <t/>
        </is>
      </c>
      <c r="C664" s="6" t="inlineStr">
        <is>
          <t/>
        </is>
      </c>
      <c r="D664" s="6" t="inlineStr">
        <is>
          <t/>
        </is>
      </c>
      <c r="E664" s="6" t="inlineStr">
        <is>
          <t/>
        </is>
      </c>
      <c r="F664" s="6" t="inlineStr">
        <is>
          <t/>
        </is>
      </c>
      <c r="G664" s="6" t="inlineStr">
        <is>
          <t/>
        </is>
      </c>
    </row>
    <row r="665">
      <c r="A665" s="3" t="inlineStr">
        <is>
          <t>LTCR 02</t>
        </is>
      </c>
      <c r="B665" s="2" t="inlineStr">
        <is>
          <t>Home LTCR 02 digitális, LED ébresztőóra rádióval, borostyán sárga kijelző, 10 állomás memória, ébresztés, elemes vagy hálózati tápellátás</t>
        </is>
      </c>
      <c r="C665" s="1" t="n">
        <v>12690.0</v>
      </c>
      <c r="D665" s="7" t="n">
        <f>HYPERLINK("https://www.somogyi.hu/product/home-ltcr-02-digitalis-led-ebresztoora-radioval-borostyan-sarga-kijelzo-10-allomas-memoria-ebresztes-elemes-vagy-halozati-tapellatas-ltcr-02-15899","https://www.somogyi.hu/product/home-ltcr-02-digitalis-led-ebresztoora-radioval-borostyan-sarga-kijelzo-10-allomas-memoria-ebresztes-elemes-vagy-halozati-tapellatas-ltcr-02-15899")</f>
        <v>0.0</v>
      </c>
      <c r="E665" s="7" t="n">
        <f>HYPERLINK("https://www.somogyi.hu/data/img/product_main_images/small/15899.jpg","https://www.somogyi.hu/data/img/product_main_images/small/15899.jpg")</f>
        <v>0.0</v>
      </c>
      <c r="F665" s="2" t="inlineStr">
        <is>
          <t>5999084939335</t>
        </is>
      </c>
      <c r="G665" s="4" t="inlineStr">
        <is>
          <t>Egy ébresztőórát keres, amely modern funkcióival és rádióval teszi élvezetesebbé a reggeleket?
A Home LTCR 02 digitális LED ébresztőóra rádióval tökéletes választás mindazok számára, akik egyszerre keresnek praktikus, megbízható és szórakoztató funkciókkal ellátott órát. Az 1,2 hüvelykes borostyán sárga kijelző, a 10 FM rádióállomás memória, valamint a kényelmes ébresztési módok garantálják, hogy reggelente frissen és jó hangulatban induljon a napja.
Tisztán olvasható, szabályozható kijelző
A nagyméretű, 30 mm magas LED kijelző borostyán sárga színe nemcsak modern és esztétikus, de jól olvasható bármilyen fényviszony mellett. A háromféle állítható fényerősség lehetővé teszi, hogy az éjszakai pihenés során se zavarja a kijelző fénye, miközben nappal kiválóan látható marad.
Ébresztés rádióval vagy hangjelzéssel
A készülék különlegessége, hogy ébredéskor választható a rádióműsor vagy a bip-bip hangjelzés. Az egy napon belül két különböző ébresztési időpont beállítható, így egyszerre több igényhez is igazítható. Az 8 perces szundi funkció lehetőséget biztosít egy kis extra pihenésre, mielőtt a nap kezdetét venné.
Digitális rádió és memóriafunkció
Az óra beépített digitális rádióval rendelkezik, amely akár 10 FM állomás memorizálására képes. A kézi vagy automatikus hangolás egyszerűvé teszi a rádiócsatornák beállítását, míg az elalvás mód lehetővé teszi, hogy kedvenc műsorát időzített kikapcsolással hallgassa.
Rugalmas tápellátás és energiahatékonyság
A készülék 230 V-os hálózati tápellátással működik, de áramszünet esetére 2 darab AAA elem (nem tartozék) biztosítja az időmemóriát, így a beállítások mindig megmaradnak. Kompakt mérete (170 x 60 x 120 mm) és mindössze 340 g súlya miatt könnyedén elhelyezhető az éjjeliszekrényen vagy íróasztalon.
Miért érdemes a Home LTCR 02 ébresztőórát választani?
– Tökéletes láthatóság: Nagyméretű borostyán sárga LED kijelző háromféle állítható fényerősséggel. – Szórakoztató ébresztés: Választható rádió vagy bip-bip hangjelzés a kellemes ébredésért. – Rádiómemória: 10 FM állomás tárolására alkalmas digitális rádió kézi és automatikus hangolással. – Kettős ébresztés: Egyszerre két ébresztési időpont beállítása, szundi funkcióval kiegészítve. – Energiatakarékos működés: Hálózatról és elemről is működtethető, áramszünet esetére időmemóriával.
Válassza a Home LTCR 02 digitális LED ébresztőórát rádióval, és tegye kényelmessé a reggeleket a praktikum és szórakozás tökéletes kombinációjával!</t>
        </is>
      </c>
    </row>
    <row r="666">
      <c r="A666" s="3" t="inlineStr">
        <is>
          <t>BH-100</t>
        </is>
      </c>
      <c r="B666" s="2" t="inlineStr">
        <is>
          <t>Btech BH-100 falióra, 33 cm átmérő, fehér számlap, fekete keret, műanyag</t>
        </is>
      </c>
      <c r="C666" s="1" t="n">
        <v>4290.0</v>
      </c>
      <c r="D666" s="7" t="n">
        <f>HYPERLINK("https://www.somogyi.hu/product/btech-bh-100-faliora-33-cm-atmero-feher-szamlap-fekete-keret-muanyag-bh-100-17890","https://www.somogyi.hu/product/btech-bh-100-faliora-33-cm-atmero-feher-szamlap-fekete-keret-muanyag-bh-100-17890")</f>
        <v>0.0</v>
      </c>
      <c r="E666" s="7" t="n">
        <f>HYPERLINK("https://www.somogyi.hu/data/img/product_main_images/small/17890.jpg","https://www.somogyi.hu/data/img/product_main_images/small/17890.jpg")</f>
        <v>0.0</v>
      </c>
      <c r="F666" s="2" t="inlineStr">
        <is>
          <t>5999007175178</t>
        </is>
      </c>
      <c r="G666" s="4" t="inlineStr">
        <is>
          <t>Ön is szeretne egy csendes, elegáns faliórát otthonába? A Btech BH-100 falióra tökéletes választás!
Ez a falióra halk járású mechanikával rendelkezik, így nem zavarja a nyugodt környezetet. 33 cm átmérőjű műanyag szerkezetével és fehér számlapjával klasszikus és letisztult megjelenést kölcsönöz bármely helyiségnek. A fekete keret tovább fokozza az óra eleganciáját, bármilyen dekorációval könnyedén harmonizál.
A Btech BH-100 falióra tápellátása 1 x 1,5V AA elemmel történik (nem tartozék), így egyszerűen üzembe helyezhető és hosszú élettartamot biztosít.
Válassza a Btech BH-100 faliórát, hogy mindig pontos időt láthasson egy elegáns és megbízható óra formájában! Szerezze be most, és tegye otthonát még stílusosabbá!</t>
        </is>
      </c>
    </row>
    <row r="667">
      <c r="A667" s="3" t="inlineStr">
        <is>
          <t>OC 07</t>
        </is>
      </c>
      <c r="B667" s="2" t="inlineStr">
        <is>
          <t>Home OC 07 digitális LED ébresztőóra, tapsra aktiválható fehér kijelző, dátum és hőmérséklet kijelzés, ébresztés, elemes tápellátás</t>
        </is>
      </c>
      <c r="C667" s="1" t="n">
        <v>12990.0</v>
      </c>
      <c r="D667" s="7" t="n">
        <f>HYPERLINK("https://www.somogyi.hu/product/home-oc-07-digitalis-led-ebresztoora-tapsra-aktivalhato-feher-kijelzo-datum-es-homerseklet-kijelzes-ebresztes-elemes-tapellatas-oc-07-17036","https://www.somogyi.hu/product/home-oc-07-digitalis-led-ebresztoora-tapsra-aktivalhato-feher-kijelzo-datum-es-homerseklet-kijelzes-ebresztes-elemes-tapellatas-oc-07-17036")</f>
        <v>0.0</v>
      </c>
      <c r="E667" s="7" t="n">
        <f>HYPERLINK("https://www.somogyi.hu/data/img/product_main_images/small/17036.jpg","https://www.somogyi.hu/data/img/product_main_images/small/17036.jpg")</f>
        <v>0.0</v>
      </c>
      <c r="F667" s="2" t="inlineStr">
        <is>
          <t>5999084950682</t>
        </is>
      </c>
      <c r="G667" s="4" t="inlineStr">
        <is>
          <t>Olyan modern és praktikus ébresztőórát keres, amely stílusos megjelenésével és intelligens funkcióival bármely környezetbe illeszkedik?
A Home OC 07 digitális LED ébresztőóra egyesíti az elegáns dizájnt a praktikus megoldásokkal. A tapsra aktiválható kijelző, a többfunkciós idő- és hőmérséklet-kijelzés, valamint a személyre szabható ébresztési módok tökéletes választássá teszik mind otthoni, mind irodai használatra.
Modern megjelenés és intelligens kijelző
Az óra fehér LED kijelzője kiválóan olvasható, nappal és éjszaka egyaránt. A kijelzőt szükség esetén teljesen kikapcsolhatja, hogy az erős fény ne zavarja a nyugodt alvást. Az idő, dátum és hőmérséklet kijelzése (0–50°C) átlátható formában jelenik meg, így minden fontos információt egy pillantással megkap.
Intelligens aktiválási funkciók
Az óra kijelzője tapsra vagy az óra mellé történő koppintásra aktiválható, amely kényelmes és energiatakarékos megoldást kínál. A személyre szabható kijelzési módok lehetővé teszik, hogy az óra funkcióit az Ön preferenciáihoz igazítsa.
Személyre szabható ébresztési lehetőségek
Az ébresztési funkció egy perces bip-bip hangjelzéssel biztosítja, hogy időben keljen. Az óra akár három különböző ébresztési időpontot is kezel, így tökéletes választás lehet több személy számára is. A 12 vagy 24 órás időformátum rugalmasan igazodik az Ön megszokott időkezelési rendszeréhez.
Megbízható működés és memória
A készülék CR2032 gombelem memóriával van felszerelve, amely áramszünet esetén is megőrzi az idő- és ébresztési beállításokat. A tápellátás három AAA elemről (nem tartozék) vagy a mellékelt hálózati adapterről is biztosítható, így rugalmasan alkalmazható bármilyen környezetben.
Kompakt és stílusos kialakítás
A kompakt méret (150 x 80 x 90 mm) és az elegáns megjelenés lehetővé teszi, hogy az óra könnyedén elhelyezhető legyen éjjeliszekrényen, íróasztalon vagy polcon. Letisztult formatervezése bármilyen belső térben harmonikusan mutat.
Miért válassza a Home OC 07 digitális LED ébresztőórát?
– Jól látható kijelző: Fehér LED, amely tapsra vagy koppintásra aktiválható. – Személyre szabható beállítások: Három ébresztési időpont és különböző kijelzési módok. – Praktikus tápellátás: Hálózati adapterrel vagy elemmel is működtethető. – Megbízható memória: Áramszünet esetén is megőrzi a beállításokat. – Elegáns kialakítás: Modern, kompakt formatervezés otthoni és irodai használatra.
Válassza a Home OC 07 digitális LED ébresztőórát, és élvezze a modern technológia nyújtotta kényelmet és stílust mindennapjaiban!</t>
        </is>
      </c>
    </row>
    <row r="668">
      <c r="A668" s="3" t="inlineStr">
        <is>
          <t>BH-90</t>
        </is>
      </c>
      <c r="B668" s="2" t="inlineStr">
        <is>
          <t>Btech BH-90 falióra, 20 cm átmérő, fehér számlap, fehér keret, műanyag</t>
        </is>
      </c>
      <c r="C668" s="1" t="n">
        <v>3190.0</v>
      </c>
      <c r="D668" s="7" t="n">
        <f>HYPERLINK("https://www.somogyi.hu/product/btech-bh-90-faliora-20-cm-atmero-feher-szamlap-feher-keret-muanyag-bh-90-16114","https://www.somogyi.hu/product/btech-bh-90-faliora-20-cm-atmero-feher-szamlap-feher-keret-muanyag-bh-90-16114")</f>
        <v>0.0</v>
      </c>
      <c r="E668" s="7" t="n">
        <f>HYPERLINK("https://www.somogyi.hu/data/img/product_main_images/small/16114.jpg","https://www.somogyi.hu/data/img/product_main_images/small/16114.jpg")</f>
        <v>0.0</v>
      </c>
      <c r="F668" s="2" t="inlineStr">
        <is>
          <t>5999007175161</t>
        </is>
      </c>
      <c r="G668" s="4" t="inlineStr">
        <is>
          <t>Egy egyszerű, mégis elegáns faliórát keres, amely tökéletesen illeszkedik otthona vagy irodája hangulatához?
A Btech BH-90 falióra letisztult dizájnjával és halk működésével minden helyiségben ideális választás. A fehér számlap és fehér keret eleganciát és tisztaságot sugároz, miközben a 20 cm-es átmérő biztosítja, hogy az idő minden pillanata jól látható legyen, még nagyobb terekben is.
Tökéletes harmónia és egyszerűség
A falióra fehér kerete és fehér számlapja kifinomult, minimalista megjelenést biztosít, amely könnyen illeszkedik bármilyen enteriőrbe, legyen szó klasszikus vagy modern stílusról. A tiszta, kontrasztos számlap és az egyszerű vonalak segítenek abban, hogy az óra mindig jól mutasson és könnyen olvasható legyen, bármilyen szögből.
Halk és megbízható működés
A halk járású mechanizmus biztosítja, hogy az óra működése ne zavarja a csendet, legyen szó pihenésről vagy koncentrációt igénylő munkáról. Ezáltal ideális választás hálószobákba, irodákba vagy bárhová, ahol fontos a nyugodt környezet.
Tartós és könnyen karbantartható
A falióra műanyag keretének köszönhetően könnyű, mégis tartós. Az egyszerű karbantartásnak köszönhetően az óra hosszú távon is megőrzi esztétikus megjelenését. A 20 cm-es átmérő elegendő ahhoz, hogy az idő egy pillantással leolvasható legyen, ugyanakkor nem túl nagy ahhoz, hogy túlzottan feltűnjön a kisebb helyiségekben is.
Egyszerű tápellátás
A Btech BH-90 falióra működéséhez mindössze egy 1,5 V-os AA elem szükséges (nem tartozék), amelyet könnyedén cserélhet, amikor szükséges. Az elemről történő működtetés lehetővé teszi, hogy az órát bárhol elhelyezhesse anélkül, hogy a kábelek elrendezésére kellene figyelnie.
Miért válassza a Btech BH-90 faliórát?
– Elegáns megjelenés: Fehér számlap és keret, amely letisztult formájával minden stílushoz illeszkedik. – Csendes működés: Halk járású mechanizmus a zavartalan környezetért. – Tartós kialakítás: Könnyű, mégis strapabíró műanyag keret. – Könnyű használat: Elemmel működik, gyorsan beüzemelhető. – Optimális méret: 20 cm átmérő, jól látható, mégis diszkrét.
Frissítse otthona vagy irodája stílusát a Btech BH-90 faliórával, amely minden szempontból tökéletes választás!</t>
        </is>
      </c>
    </row>
    <row r="669">
      <c r="A669" s="3" t="inlineStr">
        <is>
          <t>LTC 03</t>
        </is>
      </c>
      <c r="B669" s="2" t="inlineStr">
        <is>
          <t>Home LTC 03 digitális LED ébresztőóra, borostyán sárga kijelző, ébresztés visszajelzés, 8 perces ébresztésismétlés-funkció, elemes vagy hálózati tápellátás</t>
        </is>
      </c>
      <c r="C669" s="1" t="n">
        <v>9890.0</v>
      </c>
      <c r="D669" s="7" t="n">
        <f>HYPERLINK("https://www.somogyi.hu/product/home-ltc-03-digitalis-led-ebresztoora-borostyan-sarga-kijelzo-ebresztes-visszajelzes-8-perces-ebresztesismetles-funkcio-elemes-vagy-halozati-tapellatas-ltc-03-15897","https://www.somogyi.hu/product/home-ltc-03-digitalis-led-ebresztoora-borostyan-sarga-kijelzo-ebresztes-visszajelzes-8-perces-ebresztesismetles-funkcio-elemes-vagy-halozati-tapellatas-ltc-03-15897")</f>
        <v>0.0</v>
      </c>
      <c r="E669" s="7" t="n">
        <f>HYPERLINK("https://www.somogyi.hu/data/img/product_main_images/small/15897.jpg","https://www.somogyi.hu/data/img/product_main_images/small/15897.jpg")</f>
        <v>0.0</v>
      </c>
      <c r="F669" s="2" t="inlineStr">
        <is>
          <t>5999084939311</t>
        </is>
      </c>
      <c r="G669" s="4" t="inlineStr">
        <is>
          <t>Szeretne egy egyszerűen kezelhető, praktikus ébresztőórát, amely mindig pontosan működik?
A Home LTC 03 digitális LED ébresztőóra tökéletes választás azok számára, akik megbízható, modern megjelenésű és könnyen használható időmérőt keresnek. Az borostyán sárga LED kijelző, az ébresztés visszajelzése és a nyolcperces ébresztésismétlés funkció biztosítja, hogy reggelei zökkenőmentesen induljanak.
Kompakt, könnyen olvasható kijelző
A 0,6 hüvelykes (15 mm magas) borostyán sárga LED kijelző kellemes és jól látható fényt biztosít, amely nem zavarja a szemet éjszaka sem. A 24 órás időformátum egyszerű és praktikus megjelenítést nyújt, amelyet bárki könnyedén értelmezhet.
Megbízható ébresztési funkciók
Az ébresztőóra bip-bip hangjelzése biztosítja, hogy időben ébredjen. Az aktivált ébresztést egy LED visszajelzés mutatja, amely vizuális megerősítést ad, hogy minden rendben működik. Az 8 perces ébresztésismétlés funkciólehetővé teszi, hogy egy kis extra pihenőidőt kapjon, mielőtt ténylegesen elkezdené napját.
Biztonságos működés áramszünet esetén is
A készülék időmemóriával rendelkezik, amely áramszünet esetén is megőrzi az idő és az ébresztés beállításait. Ez a funkció egy 9 V-os (6LR61) elemmel biztosítható, amely nem tartozék. Ezáltal biztos lehet benne, hogy az óra minden körülmények között pontosan működik.
Rugalmas tápellátás és kompakt kialakítás
A 230 V-os hálózati csatlakozó stabil áramellátást biztosít, míg a készülék kompakt mérete (115 x 45 x 95 mm) és mindössze 240 g súlya lehetővé teszi, hogy könnyedén elhelyezze éjjeliszekrényen, polcon vagy íróasztalon.
Miért válassza a Home LTC 03 digitális LED ébresztőórát?
– Jól olvasható kijelző: Borostyán sárga LED kijelző, amely éjjel-nappal látható. – Hatékony ébresztési megoldások: Bip-bip hangjelzés és ébresztés LED visszajelzés. – Extra kényelem: 8 perces ébresztésismétlés funkció a nyugodt ébredésért. – Megbízható működés: Áramszünet esetére időmemória lehetőség 9 V-os elemmel. – Kompakt és elegáns kialakítás: Kis méretű, modern megjelenésű készülék.
Válassza a Home LTC 03 digitális LED ébresztőórát, és élvezze a praktikum és megbízhatóság tökéletes ötvözetét minden reggel!</t>
        </is>
      </c>
    </row>
    <row r="670">
      <c r="A670" s="3" t="inlineStr">
        <is>
          <t>LTC 04</t>
        </is>
      </c>
      <c r="B670" s="2" t="inlineStr">
        <is>
          <t>Home LTC 04 digitális, 3D LED ébresztőóra, 80 mm magas fehér kijelző, kitűnően leolvasható, háromféle fényerősség</t>
        </is>
      </c>
      <c r="C670" s="1" t="n">
        <v>10990.0</v>
      </c>
      <c r="D670" s="7" t="n">
        <f>HYPERLINK("https://www.somogyi.hu/product/home-ltc-04-digitalis-3d-led-ebresztoora-80-mm-magas-feher-kijelzo-kitunoen-leolvashato-haromfele-fenyerosseg-ltc-04-15917","https://www.somogyi.hu/product/home-ltc-04-digitalis-3d-led-ebresztoora-80-mm-magas-feher-kijelzo-kitunoen-leolvashato-haromfele-fenyerosseg-ltc-04-15917")</f>
        <v>0.0</v>
      </c>
      <c r="E670" s="7" t="n">
        <f>HYPERLINK("https://www.somogyi.hu/data/img/product_main_images/small/15917.jpg","https://www.somogyi.hu/data/img/product_main_images/small/15917.jpg")</f>
        <v>0.0</v>
      </c>
      <c r="F670" s="2" t="inlineStr">
        <is>
          <t>5999084939519</t>
        </is>
      </c>
      <c r="G670" s="4" t="inlineStr">
        <is>
          <t>Szeretne egy modern, energiatakarékos és jól olvasható ébresztőórát, amely tökéletesen illik otthona stílusához?
A Home LTC 04 digitális, 3D LED ébresztőóra a funkcionalitást és a letisztult dizájnt ötvözi. Az 80 mm magas fehér 3D LED kijelző kiváló láthatóságot biztosít, akár 30 méterről is, miközben az éjszakai mód és az energiatakarékos funkciók kényelmes használatot garantálnak.
Kiemelkedően jól olvasható 3D LED kijelző
Az óra 3,14 hüvelykes, 80 mm magas fehér LED kijelzője nemcsak modern és esztétikus, hanem rendkívül praktikus is, hiszen nagy méretének köszönhetően akár 30 méteres távolságból is jól látható. A három választható fényerősségi szint (20%, 70%, 100%) lehetővé teszi, hogy a kijelző fényerejét az aktuális fényviszonyokhoz igazítsa, míg az éjszakai mód energiatakarékos és zavartalan alvást biztosít.
Rugalmas idő- és ébresztési beállítások
A készülék 12 vagy 24 órás időformátumban jeleníti meg az időt, hogy mindenki az igényei szerint használhassa. Az ébresztési funkció 2 perces bip-bip hanggal ébreszt, amely garantáltan hatékonyan indítja a reggelt. A programozható ébresztésismétlés (5–60 perc között) lehetőséget ad arra, hogy Ön döntsön a szundi időtartamáról, így maximális kényelmet nyújt.
Energiatakarékos működés és tartós memória
A CR2032 gombelem memória biztosítja, hogy áramszünet esetén is megőrizze az idő és az ébresztés beállításait. A készülék tápellátását a mellékelt USB adapter és a 1,8 méteres USB csatlakozókábel biztosítja, amely egyszerű és kényelmes üzemeltetést tesz lehetővé.
Kompakt kialakítás és elhelyezési lehetőségek
Az óra kompakt méretének (235 x 100 x 25 mm) köszönhetően könnyen elhelyezhető asztalon vagy falra szerelve, így tökéletesen illeszkedik otthoni vagy irodai környezetéhez. A mindössze 180 g súlyú készülék letisztult megjelenésével bármilyen tér stílusos kiegészítőjévé válhat.
Miért érdemes a Home LTC 04 digitális, 3D LED ébresztőórát választani?
– Látványos kijelző: 80 mm magas fehér LED számok, amelyek nappal és éjjel is jól olvashatók. – Személyre szabható fényerősség: Háromféle fényerőszint, időzített beállításokkal és éjszakai móddal. – Hatékony ébresztés: 2 perces hangjelzés és programozható szundi időzítő (5–60 perc). – Praktikus elhelyezés: Asztali és fali használatra egyaránt alkalmas. – Biztonságos működés: Áramszünet esetére időmemória, USB tápellátással.
Tegye stílusossá és kényelmessé reggeleit a Home LTC 04 digitális, 3D LED ébresztőórával, amely modern megjelenésével és praktikus funkcióival minden igényt kielégít!</t>
        </is>
      </c>
    </row>
    <row r="671">
      <c r="A671" s="3" t="inlineStr">
        <is>
          <t>BH-130</t>
        </is>
      </c>
      <c r="B671" s="2" t="inlineStr">
        <is>
          <t>Btech BH-130 falióra, 25 cm átmérő, fekete számlap, fekete keret, műanyag</t>
        </is>
      </c>
      <c r="C671" s="1" t="n">
        <v>3690.0</v>
      </c>
      <c r="D671" s="7" t="n">
        <f>HYPERLINK("https://www.somogyi.hu/product/btech-bh-130-faliora-25-cm-atmero-fekete-szamlap-fekete-keret-muanyag-bh-130-13459","https://www.somogyi.hu/product/btech-bh-130-faliora-25-cm-atmero-fekete-szamlap-fekete-keret-muanyag-bh-130-13459")</f>
        <v>0.0</v>
      </c>
      <c r="E671" s="7" t="n">
        <f>HYPERLINK("https://www.somogyi.hu/data/img/product_main_images/small/13459.jpg","https://www.somogyi.hu/data/img/product_main_images/small/13459.jpg")</f>
        <v>0.0</v>
      </c>
      <c r="F671" s="2" t="inlineStr">
        <is>
          <t>5999007175192</t>
        </is>
      </c>
      <c r="G671" s="4" t="inlineStr">
        <is>
          <t>Egy klasszikus és elegáns faliórát keres, amely tökéletesen illeszkedik otthona vagy irodája stílusához?
A Btech BH-130 falióra egyszerű, mégis modern dizájnjával és halk működésével ideális választás bármilyen helyiségbe. A fekete keret és a kontrasztos fehér számlap időtálló megjelenést biztosít, miközben a 25 cm-es átmérővel mindenki számára jól láthatóvá teszi az időt.
Elegáns és letisztult megjelenés
A falióra fekete kerete és fehér számlapja kifinomult stílust sugároz, amely harmonikusan illeszkedik modern és klasszikus enteriőrökbe egyaránt. A tiszta, könnyen olvasható számlap és a pontos időmérő mechanizmus gondoskodik arról, hogy mindig időben legyen.
Halk és megbízható működés
A készülék halk járású mechanizmusa biztosítja, hogy az óra ne zavarja sem a munkára, sem a pihenésre szánt időt. Ez különösen előnyös hálószobákban, irodákban vagy tanulószobákban, ahol a csend kulcsfontosságú.
Tartós és könnyen karbantartható
A falióra műanyag keretének köszönhetően könnyű, mégis tartós. A 25 cm-es átmérő optimális méretet biztosít, amely jól mutat kisebb és nagyobb helyiségekben egyaránt. A karbantartás egyszerű: csak cserélje ki az elemet, amikor szükséges, és az óra máris újra tökéletesen működik.
Egyszerű tápellátás
A Btech BH-130 falióra egyetlen 1,5 V-os AA elemmel működik (nem tartozék), így nincs szükség bonyolult beüzemelésre vagy kábelekre. Ez a praktikus megoldás lehetővé teszi, hogy az órát bárhol elhelyezze.
Miért válassza a Btech BH-130 faliórát?
– Stílusos megjelenés: Letisztult fekete keret és fehér számlap, amely bármilyen környezetbe illik. – Csendes működés: Halk járású mechanizmus a nyugodt légkörért. – Tartós és praktikus: Könnyű műanyag keret és egyszerű karbantartás. – Könnyű használat: Elemről működő, gyorsan beüzemelhető kialakítás. – Optimális méret: 25 cm átmérő, amely jól látható minden szögből.
Válassza a Btech BH-130 faliórát, és emelje otthonát vagy irodáját a tökéletes időmérő eleganciájával!</t>
        </is>
      </c>
    </row>
    <row r="672">
      <c r="A672" s="3" t="inlineStr">
        <is>
          <t>LTCP 01</t>
        </is>
      </c>
      <c r="B672" s="2" t="inlineStr">
        <is>
          <t>Home LTCP 01 digitális, LED ébresztőóra projektorral, 24 órás folyamatos időkivetítés, háromféle fényerősség, elemes vagy hálózati tápellátás</t>
        </is>
      </c>
      <c r="C672" s="1" t="n">
        <v>14190.0</v>
      </c>
      <c r="D672" s="7" t="n">
        <f>HYPERLINK("https://www.somogyi.hu/product/home-ltcp-01-digitalis-led-ebresztoora-projektorral-24-oras-folyamatos-idokivetites-haromfele-fenyerosseg-elemes-vagy-halozati-tapellatas-ltcp-01-15898","https://www.somogyi.hu/product/home-ltcp-01-digitalis-led-ebresztoora-projektorral-24-oras-folyamatos-idokivetites-haromfele-fenyerosseg-elemes-vagy-halozati-tapellatas-ltcp-01-15898")</f>
        <v>0.0</v>
      </c>
      <c r="E672" s="7" t="n">
        <f>HYPERLINK("https://www.somogyi.hu/data/img/product_main_images/small/15898.jpg","https://www.somogyi.hu/data/img/product_main_images/small/15898.jpg")</f>
        <v>0.0</v>
      </c>
      <c r="F672" s="2" t="inlineStr">
        <is>
          <t>5999084939328</t>
        </is>
      </c>
      <c r="G672" s="4" t="inlineStr">
        <is>
          <t>Szeretné, ha az idő mindig jól látható lenne, akár a falon, akár a kijelzőn?
A Home LTCP 01 digitális LED ébresztőóra projektorral tökéletes megoldás azok számára, akik egyszerre keresnek praktikus, innovatív és stílusos időmérőt. Az állítható fényerejű piros JUMBO LED kijelző, a tükrözhető projektor, valamint a kényelmes kezelőszervek garantálják, hogy a mindennapokban egyszerűen használható, modern kiegészítője legyen otthonának.
Innovatív időkivetítés falra vagy plafonra
A készülék beépített LED projektora lehetővé teszi, hogy az időt folyamatosan kivetítse falra vagy mennyezetre. A tükrözhető kivetítési funkció biztosítja, hogy az idő mindig a legkényelmesebb pozícióban jelenjen meg, miközben a projektor háromféle fényerősség közül állítható, így tökéletesen illeszkedik bármilyen fényviszonyhoz. Ez a funkció különösen éjszaka hasznos, amikor nem szeretne felkelni az ágyból az idő leolvasásához.
Nagyméretű, jól olvasható kijelző
A készülék 1,8 hüvelykes, 46 mm magas piros JUMBO LED kijelzője garantálja a kiváló láthatóságot, még távolabbról is. A három fokozatban állítható kijelző-fényerő alkalmazkodik a nappali vagy éjszakai használathoz, így a kijelző mindig jól olvasható, de nem zavaró.
Kettős ébresztési időpont és szundi funkció
A készülék egyszerre két különböző ébresztési időpont beállítását teszi lehetővé, amelyet a LED-es visszajelző mutat. Az ébresztőóra bip-bip hangjelzéssel kelt, amelyet az ébresztésismétlés funkció (8 perc) egészít ki, hogy rugalmasan igazodjon az Ön reggeli ritmusához. Az egyszerűen kezelhető nyomógombok segítségével a nyári és téli időszámítás is egyetlen mozdulattal átállítható.
Kompakt kialakítás és rugalmas tápellátás
A készülék kompakt méretű (202 x 90 x 52 mm) és mindössze 370 g súlyú, így könnyedén elhelyezhető éjjeliszekrényen vagy polcon. A 230 V-os hálózati tápellátás biztosítja a folyamatos működést, míg az időmemóriát 2 darab AAA elem (nem tartozék) biztosítja áramszünet esetén.
Miért válassza a Home LTCP 01 digitális LED ébresztőórát?
– Praktikus kivetítési funkció: Az idő folyamatosan kivetíthető falra vagy mennyezetre, tükrözhető formában. – Kiváló láthatóság: Nagyméretű, piros JUMBO LED kijelző állítható fényerősséggel. – Többfunkciós ébresztő: Kettős ébresztési időpont, hosszú bip-bip hanggal és szundi funkcióval. – Egyszerű kezelhetőség: Áttekinthető kezelőszervek és egygombos nyári/téli időszámítás-átállítás. – Rugalmas működés: Hálózatról és elemről is üzemeltethető, így mindig készen áll a használatra.
Válassza a Home LTCP 01 digitális LED ébresztőórát, és élvezze a modern technológia kényelmét és pontosságát minden nap!</t>
        </is>
      </c>
    </row>
    <row r="673">
      <c r="A673" s="3" t="inlineStr">
        <is>
          <t>BH-110</t>
        </is>
      </c>
      <c r="B673" s="2" t="inlineStr">
        <is>
          <t>Btech BH-110 falióra, 32 cm átmérő, fekete számlap, fekete keret, műanyag</t>
        </is>
      </c>
      <c r="C673" s="1" t="n">
        <v>4290.0</v>
      </c>
      <c r="D673" s="7" t="n">
        <f>HYPERLINK("https://www.somogyi.hu/product/btech-bh-110-faliora-32-cm-atmero-fekete-szamlap-fekete-keret-muanyag-bh-110-16751","https://www.somogyi.hu/product/btech-bh-110-faliora-32-cm-atmero-fekete-szamlap-fekete-keret-muanyag-bh-110-16751")</f>
        <v>0.0</v>
      </c>
      <c r="E673" s="7" t="n">
        <f>HYPERLINK("https://www.somogyi.hu/data/img/product_main_images/small/16751.jpg","https://www.somogyi.hu/data/img/product_main_images/small/16751.jpg")</f>
        <v>0.0</v>
      </c>
      <c r="F673" s="2" t="inlineStr">
        <is>
          <t>5999007175185</t>
        </is>
      </c>
      <c r="G673" s="4" t="inlineStr">
        <is>
          <t>Egy nagyobb méretű, letisztult faliórát keres, amely tökéletesen illik otthona vagy irodája stílusához?
A Btech BH-110 falióra egyszerű, mégis modern kialakításával és csendes működésével ideális választás, ha egy olyan órát szeretne, amely nemcsak funkcionális, hanem stílusos is. A 32 cm-es átmérő, a fekete számlap és keret kombinációja biztosítja, hogy az óra minden környezetben jól mutat.
Elegáns és letisztult megjelenés
A falióra fekete kerete és fekete számlapja modern és minimalista megjelenést kölcsönöz, amely harmonikusan illeszkedik bármilyen enteriőrbe. A nagy, jól olvasható számlap és az egyszerű formatervezés biztosítja, hogy az idő mindig könnyen leolvasható legyen, akár távolabbról is.
Halk és megbízható működés
A Btech BH-110 halk járású mechanizmusa gondoskodik arról, hogy ne zavarja a csendet, legyen szó otthoni pihenésről vagy koncentrációt igénylő munkáról. Ez különösen előnyös hálószobákban, irodákban vagy tanulószobákban, ahol a csendes környezet elengedhetetlen.
Praktikus és tartós kialakítás
A falióra műanyag kerete könnyű, mégis strapabíró, így hosszú távon is megbízható választás. A 32 cm-es átmérő nagy mérete miatt jól látható és figyelemfelkeltő, még tágasabb helyiségekben is. Az egyszerű dizájn könnyen tisztítható, és mindig esztétikus megjelenést biztosít.
Egyszerű tápellátás
A készülék működéséhez mindössze egy 1,5 V-os AA elem szükséges (nem tartozék), amelyet gyorsan és egyszerűen cserélhet, amikor szükséges. Az elemről történő működtetés lehetővé teszi, hogy az órát bárhol elhelyezze kábelek nélkül.
Miért érdemes a Btech BH-110 faliórát választania?
– Modern megjelenés: Fekete számlap és keret, amely elegánsan illeszkedik bármilyen belső térhez. – Csendes működés: Halk mechanizmus a zavartalan környezetért. – Tartós kialakítás: Könnyű és strapabíró műanyag keret. – Jól látható számlap: 32 cm-es átmérővel távolról is könnyen leolvasható. – Egyszerű használat: Egyetlen AA elemről működik, gyorsan beüzemelhető.
Frissítse otthona vagy irodája megjelenését a Btech BH-110 faliórával, amely egyszerre stílusos és praktikus választás!</t>
        </is>
      </c>
    </row>
    <row r="674">
      <c r="A674" s="3" t="inlineStr">
        <is>
          <t>LTC 02</t>
        </is>
      </c>
      <c r="B674" s="2" t="inlineStr">
        <is>
          <t>Home LTC 02 digitális LED ébresztőóra, 46 mm magas időkijelzés, állítható fényerő, ébresztés sípolással, szundifunkcióval, elemes vagy hálózati tápellátás</t>
        </is>
      </c>
      <c r="C674" s="1" t="n">
        <v>11590.0</v>
      </c>
      <c r="D674" s="7" t="n">
        <f>HYPERLINK("https://www.somogyi.hu/product/home-ltc-02-digitalis-led-ebresztoora-46-mm-magas-idokijelzes-allithato-fenyero-ebresztes-sipolassal-szundifunkcioval-elemes-vagy-halozati-tapellatas-ltc-02-9623","https://www.somogyi.hu/product/home-ltc-02-digitalis-led-ebresztoora-46-mm-magas-idokijelzes-allithato-fenyero-ebresztes-sipolassal-szundifunkcioval-elemes-vagy-halozati-tapellatas-ltc-02-9623")</f>
        <v>0.0</v>
      </c>
      <c r="E674" s="7" t="n">
        <f>HYPERLINK("https://www.somogyi.hu/data/img/product_main_images/small/09623.jpg","https://www.somogyi.hu/data/img/product_main_images/small/09623.jpg")</f>
        <v>0.0</v>
      </c>
      <c r="F674" s="2" t="inlineStr">
        <is>
          <t>5998312783696</t>
        </is>
      </c>
      <c r="G674" s="4" t="inlineStr">
        <is>
          <t>Szeretne egy stílusos és praktikus ébresztőórát, amely mindig pontosan ébreszti, miközben könnyen kezelhető és jól látható?
A Home LTC 02 digitális LED ébresztőóra kiváló választás mindazok számára, akik modern megoldást keresnek a napi időkezeléshez. Az 1,8 hüvelykes Jumbo kijelző, az állítható fényerő, valamint a szundi funkcióval ellátott sípoló ébresztés biztosítja, hogy reggelei zökkenőmentesen induljanak.
Nagyméretű, könnyen olvasható kijelző
A készülék 46 mm magas időkijelzéssel rendelkezik, amely messziről is jól látható, így tökéletes választás azok számára, akik előnyben részesítik a nagy méretű számokat. Az állítható fényerő lehetővé teszi, hogy a kijelző fényerejét az adott környezet fényviszonyaihoz igazítsa, ezzel biztosítva a zavartalan éjszakai pihenést.
Pontos időkezelés és szundi funkció
A 24 órás időformátum egyszerű és praktikus megjelenítést kínál. Az ébresztőóra sípoló hangjelzéssel biztosítja, hogy mindig időben keljen, míg a szundi funkció (9 perc) extra rugalmasságot nyújt, ha kicsit tovább szeretne pihenni. Az óra időmemóriája 9 V-os elem használatával biztosítható (nem tartozék), így áramszünet esetén sem kell aggódnia az idő beállításának elvesztése miatt.
Kompakt és elegáns kialakítás
A készülék 210 x 85 x 85 mm-es mérete modern és letisztult megjelenést biztosít, amely bármilyen hálószobában jól mutat. Az egyszerű kialakítás és a jól strukturált kijelző segít a gyors tájékozódásban és a könnyű kezelhetőségben.
Sokoldalú tápellátás
A Home LTC 02 ébresztőóra 230 V-os hálózati tápellátással működik, de opcionálisan időmemóriával ellátott elemmel is használható, amely biztosítja a beállítások megtartását áramszünet esetén is.
Miért érdemes a Home LTC 02 ébresztőórát választani?
– Jól olvasható kijelző: Nagyméretű, 1,8 hüvelykes LED kijelző állítható fényerővel. – Megbízható ébresztés: Sípoló hangjelzés és szundi funkció a kényelmes ébredésért. – Modern és kompakt dizájn: Elegáns megjelenés, amely bármilyen enteriőrbe illik. – Időmemória: Elemről működő memória biztosítja a beállítások megőrzését áramszünet esetén. – Egyszerű működtetés: Könnyen kezelhető, hálózati és elemes tápellátási lehetőséggel.
Válassza a Home LTC 02 digitális LED ébresztőórát, és élvezze a praktikus funkciókat, a modern kialakítást és a zavartalan reggelek nyugalmát!</t>
        </is>
      </c>
    </row>
    <row r="675">
      <c r="A675" s="3" t="inlineStr">
        <is>
          <t>BH-80</t>
        </is>
      </c>
      <c r="B675" s="2" t="inlineStr">
        <is>
          <t>Btech BH-80 falióra, 20 cm átmérő, fehér számlap, fekete keret, műanyag</t>
        </is>
      </c>
      <c r="C675" s="1" t="n">
        <v>3190.0</v>
      </c>
      <c r="D675" s="7" t="n">
        <f>HYPERLINK("https://www.somogyi.hu/product/btech-bh-80-faliora-20-cm-atmero-feher-szamlap-fekete-keret-muanyag-bh-80-18183","https://www.somogyi.hu/product/btech-bh-80-faliora-20-cm-atmero-feher-szamlap-fekete-keret-muanyag-bh-80-18183")</f>
        <v>0.0</v>
      </c>
      <c r="E675" s="7" t="n">
        <f>HYPERLINK("https://www.somogyi.hu/data/img/product_main_images/small/18183.jpg","https://www.somogyi.hu/data/img/product_main_images/small/18183.jpg")</f>
        <v>0.0</v>
      </c>
      <c r="F675" s="2" t="inlineStr">
        <is>
          <t>5999007175130</t>
        </is>
      </c>
      <c r="G675" s="4" t="inlineStr">
        <is>
          <t>Egy kompakt és elegáns faliórát keres, amely egyszerűségével emeli otthona vagy irodája stílusát?
A Btech BH-80 falióra tökéletes választás, ha olyan időmérőt szeretne, amely jól illeszkedik kisebb terekbe is. A letisztult formatervezés, a fehér számlap és fekete keret kombinációja klasszikus megjelenést biztosít, miközben a halk járású mechanizmus zavartalan működést garantál.
Kompakt méret és időtálló dizájn
A 20 cm-es átmérő elegendő ahhoz, hogy az óra jól látható legyen, ugyanakkor tökéletesen elfér kisebb helyiségekben is, például konyhákban, előszobákban vagy irodákban. A fehér számlap kontrasztos fekete kerettel és letisztult formavilágával minden környezetben jól mutat. Ez az óra egyszerre modern és klasszikus, így könnyen illeszkedik különféle stílusú belső terekhez.
Halk működés a nyugodt környezetért
A halk járású mechanizmus garantálja, hogy az óra ne zavarja sem az otthoni pihenést, sem az irodai koncentrációt. Ez az óra ideális választás hálószobába, dolgozószobába vagy bármilyen csendes helyiségbe, ahol fontos a zavartalan légkör.
Praktikus és tartós kialakítás
A műanyag keret könnyű, mégis strapabíró, amely hosszú távon is megbízható használatot biztosít. A minimális karbantartási igény és az egyszerű, tiszta vonalvezetés megkönnyíti a mindennapi használatot és tisztítást.
Egyszerű üzembe helyezés
Az óra tápellátásához mindössze egy 1,5 V-os AA elem szükséges (nem tartozék), amelyet pillanatok alatt behelyezhet. Az elemről működő kialakítás lehetővé teszi, hogy az órát bárhol elhelyezze anélkül, hogy a kábelek elrendezésére kellene figyelnie.
Miért válassza a Btech BH-80 faliórát?
– Kompakt méret: A 20 cm-es átmérő ideális kisebb helyiségekbe. – Elegáns dizájn: Fehér számlap fekete kerettel, amely minden stílushoz illik. – Halk működés: Zavartalan működés a nyugodt környezetért. – Tartós és praktikus: Könnyű műanyag keret, amely hosszú élettartamot biztosít. – Könnyű használat: Elemről működik, gyorsan üzembe helyezhető.
Tegye időmérését stílusossá és praktikusabbá a Btech BH-80 faliórával, amely tökéletesen ötvözi az eleganciát és a funkcionalitást!</t>
        </is>
      </c>
    </row>
    <row r="676">
      <c r="A676" s="3" t="inlineStr">
        <is>
          <t>OC 05</t>
        </is>
      </c>
      <c r="B676" s="2" t="inlineStr">
        <is>
          <t>Home OC 05 digitális LED ébresztőóra, valódi faburkolat, tapsra aktiválható kijelző, dátum és hőmérséklet kijelzés, elemes vagy hálózati tápellátás</t>
        </is>
      </c>
      <c r="C676" s="1" t="n">
        <v>12690.0</v>
      </c>
      <c r="D676" s="7" t="n">
        <f>HYPERLINK("https://www.somogyi.hu/product/home-oc-05-digitalis-led-ebresztoora-valodi-faburkolat-tapsra-aktivalhato-kijelzo-datum-es-homerseklet-kijelzes-elemes-vagy-halozati-tapellatas-oc-05-15738","https://www.somogyi.hu/product/home-oc-05-digitalis-led-ebresztoora-valodi-faburkolat-tapsra-aktivalhato-kijelzo-datum-es-homerseklet-kijelzes-elemes-vagy-halozati-tapellatas-oc-05-15738")</f>
        <v>0.0</v>
      </c>
      <c r="E676" s="7" t="n">
        <f>HYPERLINK("https://www.somogyi.hu/data/img/product_main_images/small/15738.jpg","https://www.somogyi.hu/data/img/product_main_images/small/15738.jpg")</f>
        <v>0.0</v>
      </c>
      <c r="F676" s="2" t="inlineStr">
        <is>
          <t>5999084937720</t>
        </is>
      </c>
      <c r="G676" s="4" t="inlineStr">
        <is>
          <t>Szeretne egy modern és természetes megjelenésű ébresztőórát, amely tökéletesen illeszkedik otthona stílusához?
A Home OC 05 digitális LED ébresztőóra a valódi faburkolatával, kreatív kijelzési módjaival és tapsra aktiválható funkciójával nemcsak praktikus, hanem stílusos kiegészítője is lesz otthonának. A pontos idő kijelzésétől a hőmérséklet megjelenítéséig minden funkciót úgy terveztek, hogy kényelmet és megbízhatóságot nyújtson.
Elegáns és természetes megjelenés
A valódi fa burkolat természetes hangulatot kölcsönöz az órának, amely tökéletesen illeszkedik bármilyen lakberendezési stílushoz. A burkolat nemcsak esztétikus, hanem tartós is, így hosszú távon szolgálja ki igényeit. A kiválóan leolvasható LED kijelző egyszerre modern és praktikus, miközben a kijelzési módok személyre szabhatók.
Intelligens kijelzési megoldások
A kijelző tapsra vagy az óra melletti koppintással aktiválható, így energiatakarékosan működik, amikor nincs rá szükség. Éjszaka kikapcsolható a kijelző, hogy ne zavarja a pihenésben, ugyanakkor egy mozdulattal újra aktívvá tehető. A kijelzőn nemcsak az idő, hanem a dátum és a hőmérséklet (0–50°C) is megjeleníthető, így mindig naprakész információkkal szolgál.
Többfunkciós ébresztés
Az óra egyszerre három különböző ébresztési időpontot képes kezelni, amelyek 1 perces bip-bip hangjelzéssel keltenek. A 12/24 órás időkijelzés választási lehetőséget biztosít, hogy az órát személyes igényei szerint használhassa.
Rugalmas tápellátás
A készülék hálózati adapterrel (tartozék) vagy 3 darab AAA elemmel (nem tartozék) is működtethető, így rugalmasan alkalmazkodik a helyszín adottságaihoz. A beépített gombelem memória (CR 2032, tartozék) garantálja, hogy áramszünet esetén is megőrizze a pontos időt és a beállításokat.
Kompakt és praktikus kialakítás
A 150 x 80 x 90 mm-es méret és mindössze 230 g súly lehetővé teszi, hogy az órát könnyedén elhelyezze éjjeliszekrényen, polcon vagy íróasztalon. Az egyszerű, de modern dizájn biztosítja, hogy az óra harmonikusan illeszkedjen környezetéhez.
Miért érdemes a Home OC 05 ébresztőórát választani?
– Stílusos kialakítás: Valódi faburkolat és modern LED kijelző. – Intelligens funkciók: Tapsra aktiválható kijelző, idő, dátum és hőmérséklet megjelenítése. – Többfunkciós ébresztés: Három ébresztési időpont beállításának lehetősége. – Energiatakarékos működés: Kikapcsolható kijelző, amely szükség esetén könnyen újra aktiválható. – Rugalmas használat: Elemről vagy hálózatról is üzemeltethető, gombelem memóriával.
Válassza a Home OC 05 digitális LED ébresztőórát, és élvezze a természetes stílus és modern technológia ötvözetét minden nap!</t>
        </is>
      </c>
    </row>
    <row r="677">
      <c r="A677" s="3" t="inlineStr">
        <is>
          <t>OC 04</t>
        </is>
      </c>
      <c r="B677" s="2" t="inlineStr">
        <is>
          <t>Home OC 04 digitális LED ébresztőóra, valódi faburkolat, tapsra aktiválható fehér kijelző, dátum és hőmérséklet kijelzés, elemes vagy hálózati tápellátás</t>
        </is>
      </c>
      <c r="C677" s="1" t="n">
        <v>12190.0</v>
      </c>
      <c r="D677" s="7" t="n">
        <f>HYPERLINK("https://www.somogyi.hu/product/home-oc-04-digitalis-led-ebresztoora-valodi-faburkolat-tapsra-aktivalhato-feher-kijelzo-datum-es-homerseklet-kijelzes-elemes-vagy-halozati-tapellatas-oc-04-15737","https://www.somogyi.hu/product/home-oc-04-digitalis-led-ebresztoora-valodi-faburkolat-tapsra-aktivalhato-feher-kijelzo-datum-es-homerseklet-kijelzes-elemes-vagy-halozati-tapellatas-oc-04-15737")</f>
        <v>0.0</v>
      </c>
      <c r="E677" s="7" t="n">
        <f>HYPERLINK("https://www.somogyi.hu/data/img/product_main_images/small/15737.jpg","https://www.somogyi.hu/data/img/product_main_images/small/15737.jpg")</f>
        <v>0.0</v>
      </c>
      <c r="F677" s="2" t="inlineStr">
        <is>
          <t>5999084937713</t>
        </is>
      </c>
      <c r="G677" s="4" t="inlineStr">
        <is>
          <t>Egy elegáns és modern ébresztőórát keres, amely természetes stílusával és praktikus funkcióival minden igényt kielégít?
A Home OC 04 digitális LED ébresztőóra valódi fa burkolatával és okos kijelző megoldásaival egyedi megjelenést és kényelmet biztosít. A tapsra aktiválható kijelző, a többfunkciós idő- és hőmérséklet-kijelzés, valamint a kompakt méret révén ez az óra ideális választás bármilyen környezetbe.
Természetes és modern dizájn
A valódi fa burkolat nemcsak eleganciát sugároz, hanem tökéletesen illeszkedik otthoni vagy irodai környezetéhez. A letisztult vonalvezetés és a kiválóan olvasható fehér LED kijelző biztosítja, hogy az óra egyszerre legyen praktikus és esztétikus.
Intelligens kijelzési funkciók
Az óra kijelzője tapsra vagy koppintásra aktiválható, így energiatakarékos módon használható. Ha a fény túl erős lenne éjszaka, a kijelző kikapcsolható, hogy zavartalan alvást biztosítson. A kijelzőn az idő, a dátum és a hőmérséklet (0–50°C) egyaránt megjelenik, így minden fontos információ azonnal elérhető.
Személyre szabható idő- és ébresztési lehetőségek
A készülék három különböző ébresztési időpontot képes kezelni, amelyek mindegyike 1 perces bip-bip hangjelzéssel ébreszt. A 12 vagy 24 órás időformátum egyszerűen választható, hogy mindenki igényeihez igazodjon. A hőmérséklet- és dátumkijelzés pedig további kényelmet nyújt a mindennapok során.
Megbízható tápellátás és memóriafunkció
Az óra tápellátása hálózati adapterrel (tartozék) vagy 3 darab AAA elemmel (nem tartozék) történhet, így rugalmasan alkalmazkodik az Ön igényeihez. Az időmemória funkcióról egy CR2032 gombelem (tartozék) gondoskodik, amely áramszünet esetén is megőrzi az idő- és ébresztés beállításokat.
Kompakt és könnyen elhelyezhető
A 150 x 70 x 45 mm-es méret és a mindössze 195 g súly lehetővé teszi, hogy az órát szinte bárhol elhelyezze. Akár éjjeliszekrényen, akár polcon vagy íróasztalon használja, letisztult megjelenése harmonikusan illeszkedik bármilyen enteriőrbe.
Miért érdemes a Home OC 04 digitális LED ébresztőórát választani?
– Természetes elegancia: Valódi fa burkolat és modern LED kijelző. – Okos funkciók: Tapsra aktiválható és kikapcsolható kijelző, amely energiatakarékos. – Sokoldalúság: Idő, dátum és hőmérséklet-kijelzés, három ébresztési időpont lehetősége. – Megbízhatóság: Áramszünet esetére időmemória funkció CR2032 gombelemmel. – Kompakt méret: Könnyű elhelyezhetőség otthonában vagy irodájában.
Tegye otthonát stílusosabbá és kényelmesebbé a Home OC 04 digitális LED ébresztőórával, amely minden reggelt gördülékennyé varázsol!</t>
        </is>
      </c>
    </row>
    <row r="678">
      <c r="A678" s="3" t="inlineStr">
        <is>
          <t>LTC 05</t>
        </is>
      </c>
      <c r="B678" s="2" t="inlineStr">
        <is>
          <t>Home LTC 05 digitális, 3D LED ébresztőóra, 128 mm magas fehér kijelző, kitűnően leolvasható, háromféle fényerősség, idő, dátum és hőmérséklet-kijelzés</t>
        </is>
      </c>
      <c r="C678" s="1" t="n">
        <v>15590.0</v>
      </c>
      <c r="D678" s="7" t="n">
        <f>HYPERLINK("https://www.somogyi.hu/product/home-ltc-05-digitalis-3d-led-ebresztoora-128-mm-magas-feher-kijelzo-kitunoen-leolvashato-haromfele-fenyerosseg-ido-datum-es-homerseklet-kijelzes-ltc-05-17285","https://www.somogyi.hu/product/home-ltc-05-digitalis-3d-led-ebresztoora-128-mm-magas-feher-kijelzo-kitunoen-leolvashato-haromfele-fenyerosseg-ido-datum-es-homerseklet-kijelzes-ltc-05-17285")</f>
        <v>0.0</v>
      </c>
      <c r="E678" s="7" t="n">
        <f>HYPERLINK("https://www.somogyi.hu/data/img/product_main_images/small/17285.jpg","https://www.somogyi.hu/data/img/product_main_images/small/17285.jpg")</f>
        <v>0.0</v>
      </c>
      <c r="F678" s="2" t="inlineStr">
        <is>
          <t>5999084953072</t>
        </is>
      </c>
      <c r="G678" s="4" t="inlineStr">
        <is>
          <t>Olyan ébresztőórát keres, amely modern, jól látható kijelzővel és sokoldalú funkciókkal egyszerre praktikus és dekoratív?
A Home LTC 05 digitális, 3D LED ébresztőóra minden szempontból ideális választás, ha egy megbízható és stílusos időmérőt szeretne. Az óriási, 128 mm magas fehér kijelző, a többféle fényerősségi beállítás, valamint a különböző idő- és hőmérséklet-kijelzési opciók garantálják, hogy ez az óra bármilyen helyiségben kitűnő kiegészítővé váljon.
Kitűnően olvasható, állítható kijelző
Az óriási, 128 mm magas LED kijelző még nagyobb távolságból is könnyedén leolvasható, akár 50 méterről. A kijelző automatikusan alkalmazkodik a környezeti fényviszonyokhoz, így nappal tökéletesen látható, éjjel pedig diszkrét fényt ad. A manuális fényerő-szabályozás lehetőséget biztosít arra, hogy az óra mindig az Ön igényeihez igazodjon, miközben a távirányító segítségével a kijelző teljesen kikapcsolható, ha pihenni szeretne.
Pontos idő, dátum és hőmérséklet kijelzés
A Home LTC 05 nem csupán az időt mutatja – a dátum és a hőmérséklet kijelzésével átfogó képet nyújt a környezeti állapotokról. A kijelző 12 vagy 24 órás formátumra állítható, hogy minden felhasználó számára kényelmes legyen.
Többfunkciós időkezelés
Az óra egyszerre két különböző ébresztési időpontot is kezel, amelyet hangos 1 perces bip-bip hangjelzés kísér. A stopperóra és a visszaszámláló időzítő különösen hasznos lehet, ha időzített feladatokat szeretne végrehajtani. Ezek a funkciók távirányítóval is egyszerűen kezelhetők, ami különleges kényelmet nyújt a mindennapokban.
Rugalmas elhelyezési lehetőségek és tápellátás
A készülék asztalra helyezhető vagy falra is szerelhető, így rugalmasan alkalmazkodik az otthona vagy irodája igényeihez. A hálózati USB adapter és a tartozék csatlakozókábel biztosítják a megbízható áramellátást, míg az áramszünet esetére beépített CR2032 gombelem memória gondoskodik arról, hogy a beállítások ne vesszenek el.
Miért érdemes a Home LTC 05 digitális ébresztőórát választani?
– Látványos kijelző: Óriási, 128 mm magas számok, amelyek messziről is könnyen olvashatók. – Kényelmes fényerő-szabályozás: Automatikusan alkalmazkodó és manuálisan állítható fényerő. – Többfunkciós használat: Kettős ébresztés, stopper és visszaszámláló időzítő. – Távirányítható funkciók: Az idő, fényerő és ébresztési beállítások kényelmesen kezelhetők. – Praktikus kialakítás: Asztali és fali elhelyezhetőség modern, letisztult dizájnnal.
Válassza a Home LTC 05 digitális, 3D LED ébresztőórát, és élvezze a praktikum, a modern megjelenés és a megbízható működés tökéletes ötvözetét minden nap!</t>
        </is>
      </c>
    </row>
    <row r="679">
      <c r="A679" s="6" t="inlineStr">
        <is>
          <t xml:space="preserve">   Lakáskiegészítő / DVB-T vevő, DVB-C vevő</t>
        </is>
      </c>
      <c r="B679" s="6" t="inlineStr">
        <is>
          <t/>
        </is>
      </c>
      <c r="C679" s="6" t="inlineStr">
        <is>
          <t/>
        </is>
      </c>
      <c r="D679" s="6" t="inlineStr">
        <is>
          <t/>
        </is>
      </c>
      <c r="E679" s="6" t="inlineStr">
        <is>
          <t/>
        </is>
      </c>
      <c r="F679" s="6" t="inlineStr">
        <is>
          <t/>
        </is>
      </c>
      <c r="G679" s="6" t="inlineStr">
        <is>
          <t/>
        </is>
      </c>
    </row>
    <row r="680">
      <c r="A680" s="3" t="inlineStr">
        <is>
          <t>HD2T2</t>
        </is>
      </c>
      <c r="B680" s="2" t="inlineStr">
        <is>
          <t>Home HD2T2 DVB-T/T2 vevőkészülék, többnyelvű menü, EPG, multimédia fájlok, FullHD, HDMI, SCART, tartozék adapter</t>
        </is>
      </c>
      <c r="C680" s="1" t="n">
        <v>10990.0</v>
      </c>
      <c r="D680" s="7" t="n">
        <f>HYPERLINK("https://www.somogyi.hu/product/home-hd2t2-dvb-t-t2-vevokeszulek-tobbnyelvu-menu-epg-multimedia-fajlok-fullhd-hdmi-scart-tartozek-adapter-hd2t2-18336","https://www.somogyi.hu/product/home-hd2t2-dvb-t-t2-vevokeszulek-tobbnyelvu-menu-epg-multimedia-fajlok-fullhd-hdmi-scart-tartozek-adapter-hd2t2-18336")</f>
        <v>0.0</v>
      </c>
      <c r="E680" s="7" t="n">
        <f>HYPERLINK("https://www.somogyi.hu/data/img/product_main_images/small/18336.jpg","https://www.somogyi.hu/data/img/product_main_images/small/18336.jpg")</f>
        <v>0.0</v>
      </c>
      <c r="F680" s="2" t="inlineStr">
        <is>
          <t>5999084963545</t>
        </is>
      </c>
      <c r="G680" s="4" t="inlineStr">
        <is>
          <t>Hogyan teheti egyszerűbbé és élvezetesebbé a tévézést otthonában egy kényelmes, modern vevőkészülék?
A Home HD2T2 DVB-T/T2 vevőkészülék tökéletes választás mindazok számára, akik szeretnék kihasználni az ingyenes, földfelszíni digitális TV és rádió adások előnyeit. Ez a kompakt és könnyen kezelhető készülék támogatja a legújabb Full HD felbontást, így minden egyes műsor és film részletei tökéletesen élesek lesznek a képernyőn.
Kiváló minőség és sokoldalú funkciók
A Home HD2T2 vevőkészülék lehetőséget biztosít a normál és időeltolásos felvétel készítésére USB tárolóra, így nem kell lemaradnia kedvenc műsorairól. A készülék akár 500 GB külső merevlemezt is képes kezelni, így nagy mennyiségű tartalom tárolására is alkalmas. Az eszköz multimédiás fájlok lejátszását is lehetővé teszi, így nemcsak tévéműsorokat, hanem különféle formátumú videókat (pl. MPG, AVI, MKV, WMV), zenéket (MP3, WMA) és képeket (JPG, PNG, BMP) is megjeleníthet. A készülék teljes mértékben támogatja a 1920x1080p Full HD felbontástés a 16:9 vagy 4:3 képarányokat, így ideális bármilyen típusú televízióhoz.
Felhasználóbarát kezelés és praktikus funkciók
A vevőkészülék többnyelvű menüvel rendelkezik, így nemcsak magyarul, hanem angol, szlovák, román, német és cseh nyelveken is kényelmesen használható. Az automatikus és kézi hangolás, a kedvenc csatornák listája és az elektronikus programújság (EPG) egyszerűsítik a csatornák közötti navigálást. Az USB csatlakozó révén teletext és gyermekzár funkciókat is használhat, így a készülék tökéletes választás családok számára. Az időeltolásos felvétellehetővé teszi, hogy a műsorokat az Ön által választott időpontban nézze meg, így semmiről sem marad le.
Praktikus és kompakt kialakítás
A Home HD2T2 vevőkészülék kicsi, kompakt méretének köszönhetően bármilyen tévés környezetben könnyen elhelyezhető, akár egy bútorra helyezve, akár a TV mögé a falra akasztva. A HDMI és SCART csatlakozók biztosítják a kompatibilitást a különféle televíziókkal és egyéb eszközökkel, míg a tartozék hálózati adapter gondoskodik a stabil működésről.
Miért érdemes a Home HD2T2 DVB-T/T2 vevőkészüléket választani?
– Széles körű funkciók: Ingyenes digitális TV és rádióadások fogadása, felvétel és médialejátszás. – Kiváló képminőség: Full HD felbontás és széles körű formátumtámogatás. – Könnyen kezelhető: Többnyelvű menü, EPG, kedvenc csatornák listája és egyéb praktikus funkciók. – Kompatibilitás: HDMI és SCART csatlakozók, USB és külső merevlemez támogatás. – Praktikus és kompakt kialakítás: Kis helyigény, egyszerű elhelyezhetőség.
Tegye szórakoztatóbbá tévézési élményét a Home HD2T2 DVB-T/T2 vevőkészülékkel, és élvezze a magas minőségű digitális adásokat, bármikor és bárhol!</t>
        </is>
      </c>
    </row>
    <row r="681">
      <c r="A681" s="3" t="inlineStr">
        <is>
          <t>HD T2</t>
        </is>
      </c>
      <c r="B681" s="2" t="inlineStr">
        <is>
          <t>Home HD T2 DVB-T/T2 vevőkészülék, szabadon fogható földfelszíni TV és rádióadások vételére, USB csatlakozó, 1920 x 1080P, multimédiás fájlok lejátszása</t>
        </is>
      </c>
      <c r="C681" s="1" t="n">
        <v>11990.0</v>
      </c>
      <c r="D681" s="7" t="n">
        <f>HYPERLINK("https://www.somogyi.hu/product/home-hd-t2-dvb-t-t2-vevokeszulek-szabadon-foghato-foldfelszini-tv-es-radioadasok-vetelere-usb-csatlakozo-1920-x-1080p-multimedias-fajlok-lejatszasa-hd-t2-16945","https://www.somogyi.hu/product/home-hd-t2-dvb-t-t2-vevokeszulek-szabadon-foghato-foldfelszini-tv-es-radioadasok-vetelere-usb-csatlakozo-1920-x-1080p-multimedias-fajlok-lejatszasa-hd-t2-16945")</f>
        <v>0.0</v>
      </c>
      <c r="E681" s="7" t="n">
        <f>HYPERLINK("https://www.somogyi.hu/data/img/product_main_images/small/16945.jpg","https://www.somogyi.hu/data/img/product_main_images/small/16945.jpg")</f>
        <v>0.0</v>
      </c>
      <c r="F681" s="2" t="inlineStr">
        <is>
          <t>5999084949778</t>
        </is>
      </c>
      <c r="G681" s="4" t="inlineStr">
        <is>
          <t>Szeretné egyszerűen élvezni a szabadon fogható TV és rádió adásokat a legjobb minőségben, otthonában?
A Home HD T2 DVB-T/T2 vevőkészülék egy modern, kompakt megoldás, amely lehetővé teszi, hogy teljes mértékben kihasználja a földfelszíni digitális TV és rádióadások előnyeit. Ezzel a készülékkel nemcsak az élő adásokat élvezheti, hanem multimédiás fájlokat is lejátszhat, így teljes szórakoztató központtá varázsolhatja otthonát.
Széleskörű funkciók és tökéletes képi élmény
Ez a HD vevőkészülék támogatja a 1920 x 1080P felbontást, amely a legjobb képminőséget biztosít, legyen szó TV műsorokról, filmekről vagy online videókról. Az automatikus és kézi hangolás lehetősége egyszerűsíti a csatornák keresését, míg az elektronikus programújság (EPG) és a teletext segítenek abban, hogy könnyen megtalálja a legfrissebb tartalmakat. A készülék kedvenc csatornák listájának tárolásával pedig még gyorsabban elérheti a számára legfontosabb adásokat.
Multimédiás lejátszó és bővített tárolási lehetőség
A Home HD T2 vevőkészülék USB csatlakozóján keresztül akár 500GB-os külső merevlemezt is csatlakoztathat, így nagy mennyiségű film, zene és egyéb médiafájlok tárolására is alkalmas. A lejátszás során támogatott a számos videóformátum, mint például MPG, AVI, MKV, WMV, és hangfájlok formájában is megjeleníthetők a MP3, WMAés WAV típusú zenék. A képek lejátszására is képes, így a JPG, PNG, és BMP fájlok megtekintése is egyszerűen megoldható.
Praktikus csatlakozások és többféle videó kimenet
A készülék HDMI és SCART videókimenetet kínál, így könnyedén csatlakoztatható bármely modern vagy régebbi TV készülékhez. A digitális koaxiális hangkimenet segítségével pedig kiváló hangminőség érhető el. A 5 V fantom tápfeszültség erősítős antennákhoz is biztosított, hogy bárhol is élvezze az adásokat, mindig stabil jel legyen elérhető.
Egyszerű használat és további hasznos funkciók
A Home HD T2 DVB-T/T2 vevőkészülék nemcsak egy kiváló TV és rádió vevő, hanem egy valóságos szórakoztató központtá válik. Az eszköz támogatja a legújabb MPEG-4 AVC/H.264 HP@L4 és MPEG-2 MP @ HL videó formátumokat, valamint MPEG-4 HE AACv2 és MPEG-1 hangformátumokat, amelyek a legjobb minőségű tartalmakat biztosítják. A készülék gyerekzár funkcióval is rendelkezik, így biztonságosan használható családok számára. A széleskörű támogatott felbontások között megtalálhatóak a 720p és 1080p felbontások is, így mindig a legjobb képminőséget élvezheti.
Miért válassza a Home HD T2 DVB-T/T2 vevőkészüléket?
* Kiváló minőség: Tökéletes kép- és hangminőség Full HD felbontásban.
* Multimédia lejátszás: Játékos, filmek és zenék tárolása és lejátszása USB eszközökről.
* Egyszerű használat: Többnyelvű menü, automatikus csatornakeresés és személyre szabható csatornalisták.
* Bővíthető tárolás: Akár 500 GB külső merevlemezt is csatlakoztathat hozzá.
* Könnyen csatlakoztatható: HDMI és SCART kimenetek a legszélesebb kompatibilitásért.
Ne hagyja ki a lehetőséget, hogy otthonában élvezze a legjobb digitális TV és rádió műsorokat, és közben a multimédiás tartalmakat is könnyedén elérje a Home HD T2 vevőkészülékkel!</t>
        </is>
      </c>
    </row>
    <row r="682">
      <c r="A682" s="6" t="inlineStr">
        <is>
          <t xml:space="preserve">   Lakáskiegészítő / Antenna, antennaerősítő</t>
        </is>
      </c>
      <c r="B682" s="6" t="inlineStr">
        <is>
          <t/>
        </is>
      </c>
      <c r="C682" s="6" t="inlineStr">
        <is>
          <t/>
        </is>
      </c>
      <c r="D682" s="6" t="inlineStr">
        <is>
          <t/>
        </is>
      </c>
      <c r="E682" s="6" t="inlineStr">
        <is>
          <t/>
        </is>
      </c>
      <c r="F682" s="6" t="inlineStr">
        <is>
          <t/>
        </is>
      </c>
      <c r="G682" s="6" t="inlineStr">
        <is>
          <t/>
        </is>
      </c>
    </row>
    <row r="683">
      <c r="A683" s="3" t="inlineStr">
        <is>
          <t>FZ 56</t>
        </is>
      </c>
      <c r="B683" s="2" t="inlineStr">
        <is>
          <t>Home FZ 56 DVB-T/T2 kültéri antenna erősítővel, 56 dB, FM, VHF, UHF, rádió- és TV-adások vétele, hálózati adapteres tápellátás</t>
        </is>
      </c>
      <c r="C683" s="1" t="n">
        <v>15290.0</v>
      </c>
      <c r="D683" s="7" t="n">
        <f>HYPERLINK("https://www.somogyi.hu/product/home-fz-56-dvb-t-t2-kulteri-antenna-erositovel-56-db-fm-vhf-uhf-radio-es-tv-adasok-vetele-halozati-adapteres-tapellatas-fz-56-14215","https://www.somogyi.hu/product/home-fz-56-dvb-t-t2-kulteri-antenna-erositovel-56-db-fm-vhf-uhf-radio-es-tv-adasok-vetele-halozati-adapteres-tapellatas-fz-56-14215")</f>
        <v>0.0</v>
      </c>
      <c r="E683" s="7" t="n">
        <f>HYPERLINK("https://www.somogyi.hu/data/img/product_main_images/small/14215.jpg","https://www.somogyi.hu/data/img/product_main_images/small/14215.jpg")</f>
        <v>0.0</v>
      </c>
      <c r="F683" s="2" t="inlineStr">
        <is>
          <t>5999084922634</t>
        </is>
      </c>
      <c r="G683" s="4" t="inlineStr">
        <is>
          <t>Hogyan érheti el a legjobb vételt akár kültéren is?
A Home FZ 56 DVB-T/T2 kültéri antenna erősítővel tökéletes megoldás a rádió- és TV-adások kiváló minőségű vételére, akár az analóg, akár a digitális jelekre van szüksége. A készülék kiemelkedően nagy érzékenységgel rendelkezik, 56 dB-es erősítést biztosítva, így bármilyen környezetben élvezheti a zavartalan vételt. Ideális választás kültéri alkalmazásra, hiszen az FM, VHF és UHF sávok vételére is alkalmas.
Kiemelkedő érzékenység és univerzális használat
A Home FZ 56 antenna kiváló érzékenységet biztosít, így akár távolabbi adások is tökéletesen foghatóak. Analóg és digitális jelek vételére egyaránt alkalmazható, így a modern és régebbi rendszerek is tökéletesen működnek vele. A polarizáció H és V irányban egyaránt támogatott, ami biztosítja a legjobb vételt a különböző típusú jelek számára. A beépített erősítő akár 56 dB-es erősítést is biztosít, hogy biztos lehessen benne, hogy minden adás kristálytiszta lesz.
Rugalmas és egyszerű telepíthetőség
A készülék kültéri használatra lett tervezve, és könnyen falra, vagy rúdra erősíthető a tartozék fali tartó és fém rögzítő bilincs segítségével. A csatlakozó aljzat "F" típusú, 75 Ω-os impedanciával, így egyszerűen csatlakoztathatja az antennát a megfelelő eszközhöz. A kültéri elhelyezés lehetővé teszi, hogy az antenna bárhol biztosítsa a legjobb vételt, akár a ház tetején, akár a kertben.
Könnyen kezelhető és hosszú távú használat
A Home FZ 56 antenna 12 V hálózati adapteres tápellátással működik, amit a csomag tartalmaz, így nem szükséges külön tápellátást keresnie. A széles frekvenciatartomány (87,5 - 230 MHz / 470 - 862 MHz) biztosítja a kompatibilitást a legtöbb adásformátummal, míg a szélessávú erősítő biztosítja a stabil és megbízható vételt. Az antenna egyszerűen csatlakoztatható, és az F csatlakozó biztosítja a gyors és könnyű beállítást.
Miért válassza a Home FZ 56 DVB-T/T2 kültéri antennát?
- Kiemelkedő érzékenység: 56 dB-es erősítés a tökéletes vételért.
- Univerzális használat: Analóg és digitális jelek vételére egyaránt alkalmas.
- Kültéri elhelyezés: Bútorra, falra, vagy rúdról is rögzíthető.
- Egyszerű telepítés: Fali tartó és rögzítő bilincs a könnyű elhelyezéshez.
- Rugalmas csatlakoztatás: "F" aljzat a kompatibilitás érdekében.
Ne hagyja ki a lehetőséget, hogy zavartalan TV- és rádió élményt élvezzen kültéren is! Szerezze be a Home FZ 56 DVB-T/T2 kültéri antenna erősítőt most, és tapasztalja meg a kristálytiszta vételt minden alkalommal!</t>
        </is>
      </c>
    </row>
    <row r="684">
      <c r="A684" s="3" t="inlineStr">
        <is>
          <t>FZ 53</t>
        </is>
      </c>
      <c r="B684" s="2" t="inlineStr">
        <is>
          <t>Home FZ 53 DVB-T/T2 szobaantenna erősítővel, 3D formatervezés szövet mintázattal, 53 dB, rádió- és TV-adások vételére, koax kábeles tápellátás</t>
        </is>
      </c>
      <c r="C684" s="1" t="n">
        <v>12190.0</v>
      </c>
      <c r="D684" s="7" t="n">
        <f>HYPERLINK("https://www.somogyi.hu/product/home-fz-53-dvb-t-t2-szobaantenna-erositovel-3d-formatervezes-szovet-mintazattal-53-db-radio-es-tv-adasok-vetelere-koax-kabeles-tapellatas-fz-53-17707","https://www.somogyi.hu/product/home-fz-53-dvb-t-t2-szobaantenna-erositovel-3d-formatervezes-szovet-mintazattal-53-db-radio-es-tv-adasok-vetelere-koax-kabeles-tapellatas-fz-53-17707")</f>
        <v>0.0</v>
      </c>
      <c r="E684" s="7" t="n">
        <f>HYPERLINK("https://www.somogyi.hu/data/img/product_main_images/small/17707.jpg","https://www.somogyi.hu/data/img/product_main_images/small/17707.jpg")</f>
        <v>0.0</v>
      </c>
      <c r="F684" s="2" t="inlineStr">
        <is>
          <t>5999084957292</t>
        </is>
      </c>
      <c r="G684" s="4" t="inlineStr">
        <is>
          <t>Miért fontos a megfelelő antenna a rádió- és TV-adások vételéhez?
A Home FZ 53 DVB-T/T2 szobaantenna erősítővel ideális megoldás, ha szeretné élvezni a kiváló minőségű rádió- és TV-adásokat, akár digitális, akár analóg jelekről van szó. A készülék kiemelkedő érzékenységgel rendelkezik, így biztosítva a zavartalan vételt, míg a beépített kis zajú erősítő akár 53 dB-es erősítést is képes biztosítani. Ez a készülék egyaránt alkalmazható a VHF és UHF frekvenciákon a legjobb vétel érdekében, és ideális választás az analóg és digitális sugárzás vételére egyaránt.
Kiváló design és egyszerű használat
A Home FZ 53 antennát egyedülálló 3D formatervezés jellemzi, amely egy szövet mintázatot kapott, így nemcsak praktikus, hanem esztétikai szempontból is jól illeszkedik bármilyen környezetbe. Az antenna vízszintes vagy függőleges pozícióban is elhelyezhető, így könnyedén rögzíthető bútorra vagy falra. Az USB hálózati adapter és koax kábeles tápellátás lehetőségei biztosítják, hogy bárhol használhassa a készüléket, ahol éppen szüksége van rá. A koax csatlakozó biztosítja a stabil és gyors kapcsolatot a vételhez, amely akár 75 Ω impedanciával is működik, hogy a legjobb teljesítményt érje el.
Tökéletes vétel, egyszerű telepítés
A Home FZ 53 készülék egyszerűen csatlakoztatható bármilyen DVB-T / T2 vevőkészülékhez, és támogatja a VHF (87,5 - 230 MHz) és UHF (470 - 790 MHz) frekvenciatartományokat, így biztos lehet benne, hogy a legújabb adásokat is könnyedén elérheti. A polarizáció H és V irányban egyaránt támogatott, tehát bármilyen típusú jelet képes fogadni, így zökkenőmentes vételről gondoskodik.
Miért válassza a Home FZ 53 DVB-T/T2 szobaantennát?
– Kiemelkedő érzékenység: Beépített erősítő akár 53 dB-es erősítéssel – Prémium design: 3D formatervezés szövet mintázattal – Egyszerű telepítés: Vízszintes vagy függőleges elhelyezés, bútorra vagy falra rögzíthető – Kettős tápellátás: Koax kábeles vagy USB adapteres tápellátás lehetőség – Széles frekvenciatartomány: VHF és UHF vétel analóg és digitális jelekhez
Ne hagyja ki a lehetőséget, hogy tökéletes vételt élvezzen a Home FZ 53 DVB-T/T2 szobaantennával! Szerezze be most, és tapasztalja meg a kiváló minőségű TV és rádió adásokat, bármilyen környezetben!</t>
        </is>
      </c>
    </row>
    <row r="685">
      <c r="A685" s="3" t="inlineStr">
        <is>
          <t>FZ 52</t>
        </is>
      </c>
      <c r="B685" s="2" t="inlineStr">
        <is>
          <t>Home FZ 52 DVB-T/T2 szobaantenna erősítővel,  52 dB, FM, VHF, UHF, analóg és digitális jelek vétele, nagy érzékenység, hálózati adapteres tápellátás</t>
        </is>
      </c>
      <c r="C685" s="1" t="n">
        <v>11490.0</v>
      </c>
      <c r="D685" s="7" t="n">
        <f>HYPERLINK("https://www.somogyi.hu/product/home-fz-52-dvb-t-t2-szobaantenna-erositovel-52-db-fm-vhf-uhf-analog-es-digitalis-jelek-vetele-nagy-erzekenyseg-halozati-adapteres-tapellatas-fz-52-14214","https://www.somogyi.hu/product/home-fz-52-dvb-t-t2-szobaantenna-erositovel-52-db-fm-vhf-uhf-analog-es-digitalis-jelek-vetele-nagy-erzekenyseg-halozati-adapteres-tapellatas-fz-52-14214")</f>
        <v>0.0</v>
      </c>
      <c r="E685" s="7" t="n">
        <f>HYPERLINK("https://www.somogyi.hu/data/img/product_main_images/small/14214.jpg","https://www.somogyi.hu/data/img/product_main_images/small/14214.jpg")</f>
        <v>0.0</v>
      </c>
      <c r="F685" s="2" t="inlineStr">
        <is>
          <t>5999084922627</t>
        </is>
      </c>
      <c r="G685" s="4" t="inlineStr">
        <is>
          <t>Hogyan érheti el a legjobb TV és rádió vételt otthonában, zavaró jelek nélkül?
A Home FZ 52 DVB-T/T2 szobaantenna erősítővel a legújabb technológia segítségével biztosítja a kristálytiszta vételt, akár analóg, akár digitális jelekről van szó. Ezzel az antennával nemcsak a TV, hanem a rádióadások vételére is tökéletes megoldást kínálunk, így minden igény kielégíthető. Az erősítővel ellátott antenna akár 52 dB-es erősítést biztosít, így garantáltan élvezheted a legjobb vételt még gyengébb jelátvitel esetén is.
Kiemelkedő érzékenység és egyszerű elhelyezhetőség
A Home FZ 52 antenna kiemelkedően nagy érzékenységű, így biztosítja, hogy még a gyengébb jelek is tökéletesen elérjenek a vevő készülékre. A papírvékony, könnyű kialakítás lehetővé teszi, hogy bárhol egyszerűen elhelyezd, akár asztalon, akár falra ragasztva. Az antenna széles frekvenciatartomány támogatásával mind az FM, mind a VHF és UHF sávok vételére alkalmas, így biztosíthatod a legszélesebb körű kompatibilitást a különböző jelekkel. A polarizáció H és V irányban egyaránt biztosítja a legjobb vételt.
Praktikus és sokoldalú elhelyezhetőség
A készülék asztali állvánnyal és ragasztható hátoldallal is rendelkezik, így bármilyen elrendezéshez könnyen illeszkedik. Bárhova helyezheted a lakásban, anélkül, hogy zavarná a környezetet, és a kompakt méret biztosítja, hogy bárhol elférjen. Az USB tápellátás lehetősége biztosítja a kényelmes működtetést, mivel akár a vevőkészülékről is táplálható, így nem kell aggódnod a külön adapterek miatt.
Továbbfejlesztett működés és támogatás
A Home FZ 52 erősítővel az analóg és digitális jelek egyaránt zökkenőmentesen foghatók, és a beépített erősítő biztosítja a zavartalan vételt. Az antennacsatlakozó 75Ω-os koax csatlakozóval van felszerelve, így könnyen csatlakoztatható a megfelelő eszközökhöz. A tápellátás a hálózatról, vagy a vevőkészülékről is biztosított, így a használat rugalmas és kényelmes.
Miért érdemes a Home FZ 52 DVB-T/T2 szobaantennát választani?
* Széles kompatibilitás: Támogatja a digitális és analóg jeleket, rádió- és TV adások vételére egyaránt alkalmazható.
* Erősítővel ellátott antenna: Az akár 52 dB-es erősítés garantálja a zökkenőmentes vételt.
* Egyszerű elhelyezhetőség: Könnyen elhelyezhető asztalra vagy falra is.
* Kompakt és könnyű: A papírvékony kialakításnak köszönhetően bárhol elfér.
* Praktikus tápellátás: Akár a vevőkészülékből, akár hálózatról működtethető.
Ne hagyja ki ezt a kiváló vételi lehetőséget, és szerezze be a Home FZ 52 DVB-T/T2 szobaantennát most, hogy élvezhesse a zökkenőmentes és zavartalan rádió és TV élményt otthonában!</t>
        </is>
      </c>
    </row>
    <row r="686">
      <c r="A686" s="3" t="inlineStr">
        <is>
          <t>FZ54</t>
        </is>
      </c>
      <c r="B686" s="2" t="inlineStr">
        <is>
          <t>HOME FZ 54 szobai antenna erősítővel, extra vékony, extra könnyű, hálózati adapterrel, hosszú antennakábellel</t>
        </is>
      </c>
      <c r="C686" s="1" t="n">
        <v>10090.0</v>
      </c>
      <c r="D686" s="7" t="n">
        <f>HYPERLINK("https://www.somogyi.hu/product/home-fz-54-szobai-antenna-erositovel-extra-vekony-extra-konnyu-halozati-adapterrel-hosszu-antennakabellel-fz54-18937","https://www.somogyi.hu/product/home-fz-54-szobai-antenna-erositovel-extra-vekony-extra-konnyu-halozati-adapterrel-hosszu-antennakabellel-fz54-18937")</f>
        <v>0.0</v>
      </c>
      <c r="E686" s="7" t="n">
        <f>HYPERLINK("https://www.somogyi.hu/data/img/product_main_images/small/18937.jpg","https://www.somogyi.hu/data/img/product_main_images/small/18937.jpg")</f>
        <v>0.0</v>
      </c>
      <c r="F686" s="2" t="inlineStr">
        <is>
          <t>5999084969318</t>
        </is>
      </c>
      <c r="G686" s="4" t="inlineStr">
        <is>
          <t>Szeretné minden kedvenc adását tisztán és zavartalanul élvezni? A HOME FZ54 szobai antenna ideális megoldás, ha szeretné a legjobb vételt elérni akár rádió, akár TV adások esetén, és mindezt egyszerűen, erősítővel felszerelve.
A beépített alacsony zajú erősítő 54dB-ig erősíti a jeleket, így kiemelkedően tiszta vételt biztosít. Az antenna megnövelt mérete és nagy érzékenysége révén még gyengébb jelek esetén is optimális teljesítményt nyújt, így a kép és hang minősége minden körülmények között stabil marad. Extra vékony kialakításával könnyen felragasztható falra, ablakra vagy akár bútorra, így bármilyen szobába illik, anélkül hogy feltűnő lenne. A 4,8 méteres hosszú antennakábel pedig szabad mozgást biztosít, így a legjobb vételi helyre pozícionálhatja. A hálózati adapterrel működtethető antenna táplálható akár a vevőkészülékből is, így rugalmasan illeszkedik az ön eszközeihez.
Élvezze a kristálytiszta vételt és a zavartalan szórakozást a HOME FZ54 szobai antennával! Ne maradjon le kedvenc műsorairól – rendeljen most, és fedezze fel a tökéletes jelvétel élményét otthonában!</t>
        </is>
      </c>
    </row>
    <row r="687">
      <c r="A687" s="6" t="inlineStr">
        <is>
          <t xml:space="preserve">   Lakáskiegészítő / Univerzális távirányító</t>
        </is>
      </c>
      <c r="B687" s="6" t="inlineStr">
        <is>
          <t/>
        </is>
      </c>
      <c r="C687" s="6" t="inlineStr">
        <is>
          <t/>
        </is>
      </c>
      <c r="D687" s="6" t="inlineStr">
        <is>
          <t/>
        </is>
      </c>
      <c r="E687" s="6" t="inlineStr">
        <is>
          <t/>
        </is>
      </c>
      <c r="F687" s="6" t="inlineStr">
        <is>
          <t/>
        </is>
      </c>
      <c r="G687" s="6" t="inlineStr">
        <is>
          <t/>
        </is>
      </c>
    </row>
    <row r="688">
      <c r="A688" s="3" t="inlineStr">
        <is>
          <t>URC JUMP</t>
        </is>
      </c>
      <c r="B688" s="2" t="inlineStr">
        <is>
          <t>Home URC JUMP univerzális kapunyitó, 2IN1, betanítható az ugrókódos kapuelektronikához, betanítható az eredeti fix kódos távirányítóhoz, ABS</t>
        </is>
      </c>
      <c r="C688" s="1" t="n">
        <v>8590.0</v>
      </c>
      <c r="D688" s="7" t="n">
        <f>HYPERLINK("https://www.somogyi.hu/product/home-urc-jump-univerzalis-kapunyito-2in1-betanithato-az-ugrokodos-kapuelektronikahoz-betanithato-az-eredeti-fix-kodos-taviranyitohoz-abs-urc-jump-16487","https://www.somogyi.hu/product/home-urc-jump-univerzalis-kapunyito-2in1-betanithato-az-ugrokodos-kapuelektronikahoz-betanithato-az-eredeti-fix-kodos-taviranyitohoz-abs-urc-jump-16487")</f>
        <v>0.0</v>
      </c>
      <c r="E688" s="7" t="n">
        <f>HYPERLINK("https://www.somogyi.hu/data/img/product_main_images/small/16487.jpg","https://www.somogyi.hu/data/img/product_main_images/small/16487.jpg")</f>
        <v>0.0</v>
      </c>
      <c r="F688" s="2" t="inlineStr">
        <is>
          <t>5999084945190</t>
        </is>
      </c>
      <c r="G688" s="4" t="inlineStr">
        <is>
          <t>Hogyan könnyítheti meg a kapu használatát egy univerzális távirányító?
A Home URC JUMP univerzális kapunyitó ideális megoldás azok számára, akik egyszerűsíteni szeretnék a kapu nyitását és zárását. Ezzel a 2IN1 távirányítóval könnyedén működtethetők különböző kapuelektronikai rendszerek, mivel képes tanulni a ugrókódos és fix kódos rendszerekhez egyaránt. A távirányító egyedülálló lehetőséget biztosít a két különböző típusú kód kezelésére, így nem kell külön távirányítót tartani több rendszerhez.
Kényelmes és egyszerű kezelhetőség
A Home URC JUMP távirányítót rendkívül egyszerű betanítani, és akár külön-külön is beállíthatók a nyomógombok, így minden egyes funkció saját kódjaival működhet. A 280-350/380-450/867-868 MHz frekvenciakínálat lehetővé teszi a stabil és zökkenőmentes kommunikációt különböző típusú kapu- és garázsnyitó rendszerekkel. A betaníthatóság mindenki számára elérhetővé teszi a személyre szabott beállítást, amivel biztosítható a kényelmes működtetés minden alkalommal.
Kiváló minőség és megbízhatóság
A Home URC JUMP univerzális kapunyitó ABS anyagból készült, amely tartósságot és hosszú élettartamot biztosít. A kis méretének és praktikus kialakításának köszönhetően egyszerűen hordozható, és mindig kéznél lehet. Az 1 x 3 V (CR2032) elem pedig biztosítja a hosszú távú, megbízható működést, így nem kell aggódni az állandó elemcserék miatt.
Miért válassza a Home URC JUMP univerzális kapunyitót?
– Képes működtetni ugrókódos és fix kódos rendszereket egyaránt – Külön beállítható nyomógombok a kényelmes használathoz – Széles frekvencia tartomány: 280-350/380-450/867-868 MHz – Tartós ABS anyag: Hosszú élettartam és megbízhatóság – Egyszerű beállítás: Könnyen betanítható és személyre szabható
Ne hagyja ki ezt a praktikus, megbízható és könnyen használható kapunyitó megoldást! Vásárolja meg most a Home URC JUMP univerzális kapunyitót, és tapasztalja meg a kényelmes kapuvezérlést!</t>
        </is>
      </c>
    </row>
    <row r="689">
      <c r="A689" s="3" t="inlineStr">
        <is>
          <t>URCTCL</t>
        </is>
      </c>
      <c r="B689" s="2" t="inlineStr">
        <is>
          <t>Home URCTCL távirányító, TCL okos TV készülékekhez, előre kódolt, 2 x 1,5 V (AAA) elem</t>
        </is>
      </c>
      <c r="C689" s="1" t="n">
        <v>3390.0</v>
      </c>
      <c r="D689" s="7" t="n">
        <f>HYPERLINK("https://www.somogyi.hu/product/home-urctcl-taviranyito-tcl-okos-tv-keszulekekhez-elore-kodolt-2-x-1-5-v-aaa-elem-urctcl-18436","https://www.somogyi.hu/product/home-urctcl-taviranyito-tcl-okos-tv-keszulekekhez-elore-kodolt-2-x-1-5-v-aaa-elem-urctcl-18436")</f>
        <v>0.0</v>
      </c>
      <c r="E689" s="7" t="n">
        <f>HYPERLINK("https://www.somogyi.hu/data/img/product_main_images/small/18436.jpg","https://www.somogyi.hu/data/img/product_main_images/small/18436.jpg")</f>
        <v>0.0</v>
      </c>
      <c r="F689" s="2" t="inlineStr">
        <is>
          <t>5999084964542</t>
        </is>
      </c>
      <c r="G689" s="4" t="inlineStr">
        <is>
          <t>Hogyan teheti egyszerűvé TCL televíziójának vezérlését felesleges beállítások nélkül? A Home URCTCL távirányító tökéletes megoldást kínál TCL okos TV készülékekhez, amelyek zökkenőmentes használatot igényelnek. Az előre kódolt rendszer lehetővé teszi, hogy az eszköz azonnal használatra kész legyen, így nincs szükség hosszadalmas programozásra vagy bonyolult beállításokra. Mindössze két darab AAA elem szükséges (nem tartozék), és a távirányító máris készen áll a használatra.
Egyszerű működés a mindennapokban A Home URCTCL távirányító gyárilag előre kódolt, ami garantálja a kompatibilitást a TCL márkájú okos TV készülékekkel. Ez azt jelenti, hogy Ön azonnal csatlakoztathatja televíziójához, anélkül, hogy időt veszítene a bonyolult beállításokkal. Az eszköz biztosítja a gyors és hatékony vezérlést, amely ideális választássá teszi mind a háztartások, mind az irodák számára.
Kényelmes kialakítás és tartós használat A távirányító ergonomikus formatervezése kényelmes fogást biztosít, még hosszan tartó használat esetén is. Kompakt mérete könnyen kezelhetővé és tárolhatóvá teszi, miközben masszív anyaghasználata biztosítja a hosszú élettartamot. Letisztult, modern megjelenése harmonikusan illeszkedik a TCL televíziók elegáns formavilágához, miközben egyszerűségével a funkcionalitást helyezi előtérbe.
Energiatakarékos működés és egyszerű üzembe helyezés A távirányító működtetéséhez két darab 1,5 V-os AAA elem szükséges, amelyeket külön kell beszerezni. Az energiatakarékos kialakítás hosszú élettartamot biztosít, miközben a vezeték nélküli működés kényelmet és szabadságot kínál. Az eszköz üzembe helyezése mindössze néhány másodpercet vesz igénybe, így Ön azonnal használatba veheti.
Miért válassza a Home URCTCL távirányítót? – Előre kódolt rendszerének köszönhetően azonnal használatra kész, nincs szükség programozásra. – Kifejezetten TCL okos TV készülékekhez tervezték, garantált kompatibilitással. – Ergonomikus, kényelmes kialakítás a mindennapi használathoz. – Strapabíró és modern design, amely tökéletesen illeszkedik bármely otthonba. – Egyszerűen üzemeltethető, energiatakarékos működés két AAA elem segítségével.
Tegye kényelmessé televízió vezérlését a Home URCTCL távirányítóval! Fedezze fel, hogyan teheti hatékonyabbá és élvezetesebbé mindennapjait ezzel a megbízható, praktikus eszközzel. Szerezze be most, és élvezze a gondtalan használatot!</t>
        </is>
      </c>
    </row>
    <row r="690">
      <c r="A690" s="3" t="inlineStr">
        <is>
          <t>URCAIR2</t>
        </is>
      </c>
      <c r="B690" s="2" t="inlineStr">
        <is>
          <t>Home URCAIR2 SMART távirányító, 2in1, egér, billentyűzet, tölthető, légegér, air mouse, világító billentyűzet</t>
        </is>
      </c>
      <c r="C690" s="1" t="n">
        <v>5190.0</v>
      </c>
      <c r="D690" s="7" t="n">
        <f>HYPERLINK("https://www.somogyi.hu/product/home-urcair2-smart-taviranyito-2in1-eger-billentyuzet-toltheto-legeger-air-mouse-vilagito-billentyuzet-urcair2-18717","https://www.somogyi.hu/product/home-urcair2-smart-taviranyito-2in1-eger-billentyuzet-toltheto-legeger-air-mouse-vilagito-billentyuzet-urcair2-18717")</f>
        <v>0.0</v>
      </c>
      <c r="E690" s="7" t="n">
        <f>HYPERLINK("https://www.somogyi.hu/data/img/product_main_images/small/18717.jpg","https://www.somogyi.hu/data/img/product_main_images/small/18717.jpg")</f>
        <v>0.0</v>
      </c>
      <c r="F690" s="2" t="inlineStr">
        <is>
          <t>5999084967352</t>
        </is>
      </c>
      <c r="G690" s="4" t="inlineStr">
        <is>
          <t>Gondolt már arra, hogy milyen kényelmes lenne egyetlen távirányítóval irányítani minden eszközét? A Home URCAIR2 SMART távirányítóval most mindez lehetséges!
Ez a távirányító vezeték nélküli egérként, billentyűzetként és játék kontrollerként is használható, így minden igényét kielégíti. A manuális és 3D légegér (AirMouse) funkció révén könnyedén navigálhat a készülékei között. Az állítható egér mutató sebesség lehetővé teszi, hogy a használat során a saját preferenciáihoz igazítsa a működést.
A Home URCAIR2 SMART távirányító kompatibilis az okos TV-kkel, TV box-okkal, média lejátszókkal, játék konzolokkal, projektorokkal, számítógépekkel, notebookokkal, mini PC-kkel, táblagépekkel és okostelefonokkal. A beépített háromtengelyes giroszkóp mozgásérzékelő pontos és könnyű irányítást biztosít. Az angol QWERTY billentyűzet 46+11 gombja hét különböző színben világít, így sötétben is egyszerű a használat.
A távirányító körülbelül 10 méteres hatótávolsággal rendelkezik, így kényelmesen használható a szobában bárhonnan. Energiatakarékos, automatikus alvó üzemmódja növeli az akkumulátor élettartamát, amely beépített, így elemcserére sincs szükség. A készülék jelzi, ha töltésre van szükség, a töltési idő körülbelül 4 óra, az üzemidő pedig akár 6 óra is lehet, míg készenléti módban akár 6 hónapig is kitart.
A csomag tartalmaz egy USB vevőt és egy microUSB töltőkábelt. A távirányító méretei 46 x 152 x 15 mm, súlya pedig mindössze 55 g, így könnyen hordozható és kényelmesen használható. Ajánlott töltők: SA 24USB és SA 50USB. Az univerzális távirányítóknál nem garantálható minden készülékhez a teljes körű működés, ezért vásárlás előtt ellenőrizze eszköze kompatibilitását.
Ne várjon tovább, rendelje meg a Home URCAIR2 SMART távirányítót, és élvezze a kényelmet, amit ez a sokoldalú eszköz nyújt!</t>
        </is>
      </c>
    </row>
    <row r="691">
      <c r="A691" s="3" t="inlineStr">
        <is>
          <t>URC 22</t>
        </is>
      </c>
      <c r="B691" s="2" t="inlineStr">
        <is>
          <t>Home URC 22 univerzális távirányító, 4 távirányítót helyettesít, előre programozott kódok, ergonomikus kialakítás</t>
        </is>
      </c>
      <c r="C691" s="1" t="n">
        <v>2290.0</v>
      </c>
      <c r="D691" s="7" t="n">
        <f>HYPERLINK("https://www.somogyi.hu/product/home-urc-22-univerzalis-taviranyito-4-taviranyitot-helyettesit-elore-programozott-kodok-ergonomikus-kialakitas-urc-22-14251","https://www.somogyi.hu/product/home-urc-22-univerzalis-taviranyito-4-taviranyitot-helyettesit-elore-programozott-kodok-ergonomikus-kialakitas-urc-22-14251")</f>
        <v>0.0</v>
      </c>
      <c r="E691" s="7" t="n">
        <f>HYPERLINK("https://www.somogyi.hu/data/img/product_main_images/small/14251.jpg","https://www.somogyi.hu/data/img/product_main_images/small/14251.jpg")</f>
        <v>0.0</v>
      </c>
      <c r="F691" s="2" t="inlineStr">
        <is>
          <t>5999084922993</t>
        </is>
      </c>
      <c r="G691" s="4" t="inlineStr">
        <is>
          <t>Unja a különböző távirányítók folyamatos keresgélését? Miért ne egyszerűsítené le otthona vezérlését egyetlen eszközzel?
A Home URC 22 univerzális távirányító segítségével egyetlen eszközzel vezérelheti a legtöbb otthoni készüléket. Akár 4 távirányítót is helyettesíthet vele, így nem kell több eszközt keresgélnie, ha változtatni szeretne a beállításokon. A Home URC 22 távirányító előre programozott kódokkal rendelkezik, és az automatikus kódkeresés segítségével gyorsan és egyszerűen párosítható a készülékekkel.
Kényelmes vezérlés egyetlen gombnyomással
Ez az eszköz nem csupán az egyszerű kezelhetőséget biztosítja, hanem kényelmes ergonomikus kialakítással is rendelkezik, amely garantálja, hogy minden funkció könnyedén elérhető. A kézi kódválasztás lehetővé teszi a pontos beállítást, ha az automatikus keresés nem adna megfelelő eredményt, így a Home URC 22 minden otthoni eszközhöz tökéletesen alkalmazható.
Miért válassza a Home URC 22 univerzális távirányítót?
– 4 távirányítót helyettesít egyetlen eszközzel – Előre programozott kódok a könnyű beállításhoz – Automatikus kódkeresés és kézi kódválasztás lehetősége – Ergonomikus kialakítás a kényelmes használatért – Tápellátás: 2 x 1,5 V (AA) elem (nem tartozék)
Ne hagyja ki a lehetőséget, hogy kényelmesebbé és egyszerűbbé tegye otthona vezérlését! Rendelje meg most a Home URC 22 univerzális távirányítót, és élvezze a könnyed kezelhetőséget, miközben mindent irányít, amit szeretne!</t>
        </is>
      </c>
    </row>
    <row r="692">
      <c r="A692" s="3" t="inlineStr">
        <is>
          <t>URC ALL</t>
        </is>
      </c>
      <c r="B692" s="2" t="inlineStr">
        <is>
          <t>Home URC ALL univerzális távirányító, Samsung, LG, SONY, Panasonic, Toshiba, Philips, Hisense, Sharp, Grundig TV-khez, 3D TV kompatibilis, előre kódolt</t>
        </is>
      </c>
      <c r="C692" s="1" t="n">
        <v>3490.0</v>
      </c>
      <c r="D692" s="7" t="n">
        <f>HYPERLINK("https://www.somogyi.hu/product/home-urc-all-univerzalis-taviranyito-samsung-lg-sony-panasonic-toshiba-philips-hisense-sharp-grundig-tv-khez-3d-tv-kompatibilis-elore-kodolt-urc-all-16917","https://www.somogyi.hu/product/home-urc-all-univerzalis-taviranyito-samsung-lg-sony-panasonic-toshiba-philips-hisense-sharp-grundig-tv-khez-3d-tv-kompatibilis-elore-kodolt-urc-all-16917")</f>
        <v>0.0</v>
      </c>
      <c r="E692" s="7" t="n">
        <f>HYPERLINK("https://www.somogyi.hu/data/img/product_main_images/small/16917.jpg","https://www.somogyi.hu/data/img/product_main_images/small/16917.jpg")</f>
        <v>0.0</v>
      </c>
      <c r="F692" s="2" t="inlineStr">
        <is>
          <t>5999084949495</t>
        </is>
      </c>
      <c r="G692" s="4" t="inlineStr">
        <is>
          <t>Unja már, hogy különböző távirányítókat kell használnia a tévézéshez? A Home URC ALL univerzális távirányítóval egyetlen eszközzel vezérelheti 9 különböző márkájú TV készüléket, beleértve a Samsung, LG, Sony, Panasonic, Toshiba, Philips, Hisense, Sharp és Grundig modelleket!
Kompatibilitás és egyszerű használat
Ez a távirányító előre kódolt, így nincs szükség beállításra. Mindössze annyit kell tennie, hogy kiválasztja a márkát, és máris működtetheti a készülékét. Az eszköz 3D TV kompatibilis, így élvezheti a lenyűgöző képminőséget anélkül, hogy bármilyen problémát okozna a vezérlés. A piros LED visszajelző biztosítja, hogy mindig tudja, mikor küldött parancsot a távirányító. A távirányító ergonomikus kialakítása és a jól elrendezett gombok biztosítják a kényelmes használatot minden egyes nyomógomb megnyomásakor.
Kényelmes és praktikus
Ez a Home URC ALL univerzális távirányító 2 db AAA elem segítségével működik, így hosszú ideig használhatja a készüléket, anélkül hogy aggódnia kellene a gyors lemerülés miatt. A távirányító minden alapvető funkcióval rendelkezik, amit a tévézés során csak szükséges, és az előre programozott márkák listája biztosítja, hogy a legnépszerűbb modelleket egy gombnyomással irányíthassa.
Miért válassza a Home URC ALL univerzális távirányítót?
– Kompatibilitás 9 különböző márkával, mint a Samsung, LG, Sony, Panasonic, Toshiba, Philips, Hisense, Sharp és Grundig – 3D TV kompatibilitás, a legmodernebb televíziók vezérlésére – Előre kódolt, nem igényel beállítást – Piros LED visszajelzés, így biztos lehet benne, hogy a parancsot elérte a készülék – Tápellátás 2 x 1,5V (AAA) elemmel, ami biztosítja a hosszú élettartamot
Ne hagyja ki a lehetőséget, hogy egyetlen távirányítóval irányítsa a teljes háztartást! Rendelje meg most a Home URC ALL univerzális távirányítót, és élvezze a kényelmet és egyszerűséget a tévézés során!</t>
        </is>
      </c>
    </row>
    <row r="693">
      <c r="A693" s="3" t="inlineStr">
        <is>
          <t>URC SON</t>
        </is>
      </c>
      <c r="B693" s="2" t="inlineStr">
        <is>
          <t>Home URC SON SONY távirányító, Sony márkájú smart TV készülékekhez, nem igényel beállítást</t>
        </is>
      </c>
      <c r="C693" s="1" t="n">
        <v>3190.0</v>
      </c>
      <c r="D693" s="7" t="n">
        <f>HYPERLINK("https://www.somogyi.hu/product/home-urc-son-sony-taviranyito-sony-markaju-smart-tv-keszulekekhez-nem-igenyel-beallitast-urc-son-15439","https://www.somogyi.hu/product/home-urc-son-sony-taviranyito-sony-markaju-smart-tv-keszulekekhez-nem-igenyel-beallitast-urc-son-15439")</f>
        <v>0.0</v>
      </c>
      <c r="E693" s="7" t="n">
        <f>HYPERLINK("https://www.somogyi.hu/data/img/product_main_images/small/15439.jpg","https://www.somogyi.hu/data/img/product_main_images/small/15439.jpg")</f>
        <v>0.0</v>
      </c>
      <c r="F693" s="2" t="inlineStr">
        <is>
          <t>5999084934736</t>
        </is>
      </c>
      <c r="G693" s="4" t="inlineStr">
        <is>
          <t>Hogyan teheti egyszerűbbé és kényelmesebbé a televíziózás élményét? A Home URC SON távirányító kifejezetten Sony márkájú okos TV-khez készült, hogy a készülékek vezérlését gyorssá és problémamentessé tegye. Előre kódolt rendszerének köszönhetően az eszköz azonnal használatra kész. Nem kell időt töltenie bonyolult beállításokkal – elég behelyeznie két darab AAA elemet (nem tartozék), és már élvezheti a gondtalan működést.
Egyszerű működés, amely az Ön kényelmét szolgálja Az előre programozott funkcióknak köszönhetően a Home URC SON távirányító gyárilag beállított rendszerrel rendelkezik. Ez azt jelenti, hogy nincs szükség további programozásra vagy telepítésre – a távirányító azonnal használható. Tökéletes összhangban működik a Sony márkájú okos TV-kkel, így Önnek csak a szórakozásra kell koncentrálnia.
Kényelmes kialakítás a mindennapokra A távirányító ergonómiai szempontból is megállja a helyét. Kialakítása révén kényelmesen illeszkedik a kézbe, így hosszabb használat során is komfortos marad. Kompakt mérete lehetővé teszi, hogy egyszerűen tárolható legyen, ugyanakkor masszív felépítése hosszú távú megbízhatóságot biztosít. A modern, letisztult design tökéletesen illeszkedik minden otthoni környezetbe.
Kiváló kompatibilitás a zavartalan működés érdekében A Home URC SON távirányítót kifejezetten a Sony smart TV-k számára tervezték, így garantáltan zökkenőmentesen működik ezekkel a készülékekkel. Az egyszerűség és a praktikum jegyében készült, hogy Ön minden helyzetben gyorsan és hatékonyan irányíthassa televízióját.
Miért válassza a Home URC SON távirányítót? – Előre kódolt rendszerének köszönhetően azonnal használható. – Ergonomikus kialakítása kényelmes és praktikus használatot biztosít. – Kifejezetten Sony márkájú smart TV-khez tervezték, így a kompatibilitás garantált. – Kompakt, mégis masszív kialakításának köszönhetően hosszú élettartamot biztosít.
Tegye könnyebbé mindennapjait a Home URC SON távirányítóval!</t>
        </is>
      </c>
    </row>
    <row r="694">
      <c r="A694" s="3" t="inlineStr">
        <is>
          <t>URC SAM 1</t>
        </is>
      </c>
      <c r="B694" s="2" t="inlineStr">
        <is>
          <t>Home SAM 1 Samsung távirányító, Samsung márkájú smart TV készülékekhez, nem igényel beállítást</t>
        </is>
      </c>
      <c r="C694" s="1" t="n">
        <v>3190.0</v>
      </c>
      <c r="D694" s="7" t="n">
        <f>HYPERLINK("https://www.somogyi.hu/product/home-sam-1-samsung-taviranyito-samsung-markaju-smart-tv-keszulekekhez-nem-igenyel-beallitast-urc-sam-1-15437","https://www.somogyi.hu/product/home-sam-1-samsung-taviranyito-samsung-markaju-smart-tv-keszulekekhez-nem-igenyel-beallitast-urc-sam-1-15437")</f>
        <v>0.0</v>
      </c>
      <c r="E694" s="7" t="n">
        <f>HYPERLINK("https://www.somogyi.hu/data/img/product_main_images/small/15437.jpg","https://www.somogyi.hu/data/img/product_main_images/small/15437.jpg")</f>
        <v>0.0</v>
      </c>
      <c r="F694" s="2" t="inlineStr">
        <is>
          <t>5999084934712</t>
        </is>
      </c>
      <c r="G694" s="4" t="inlineStr">
        <is>
          <t>Kiváló kompatibilitás és könnyű használat
Ez a Samsung TV távirányító ideális választás minden Samsung márkájú okos TV-hez, mivel automatikusan működik, miután behelyezte a megfelelő elemeket. Az egyszerű és intuitív kezelőfelület minden funkciót kényelmesen elérhetővé tesz, így könnyedén válthat csatornák, állíthatja a hangerőt, vagy vezérelheti a különböző okos funkciókat anélkül, hogy hosszadalmas beállításokra lenne szükség.
Energiatakarékos és praktikus
A Home SAM 1 távirányító két 1,5V (AAA) elemmel működik, amelyeket a csomag nem tartalmaz. Az elemek könnyen elérhetőek, és biztosítják a hosszú üzemidőt, miközben az eszköz kompakt és kényelmes használatot biztosít minden alkalommal.
Miért válassza a Home SAM 1 távirányítót?
– Kompatibilis Samsung okos TV készülékekkel, ideális a gyors vezérléshez – Előre kódolt, nincs szükség beállításokra – Egyszerű kezelhetőség és kényelmes funkciók – Energiatakarékos: hosszú üzemidő, könnyen elérhető elemek
Ne hagyja ki a kényelmes, gyors és praktikus irányítást – válassza a Home SAM 1 Samsung távirányítót most, és élvezze az okos televíziózást teljes mértékben!</t>
        </is>
      </c>
    </row>
    <row r="695">
      <c r="A695" s="3" t="inlineStr">
        <is>
          <t>URC LG 1</t>
        </is>
      </c>
      <c r="B695" s="2" t="inlineStr">
        <is>
          <t>Home URC LG 1 LG távirányító, LG márkájú TV készülékekhez, nem igényel beállítást</t>
        </is>
      </c>
      <c r="C695" s="1" t="n">
        <v>3190.0</v>
      </c>
      <c r="D695" s="7" t="n">
        <f>HYPERLINK("https://www.somogyi.hu/product/home-urc-lg-1-lg-taviranyito-lg-markaju-tv-keszulekekhez-nem-igenyel-beallitast-urc-lg-1-15433","https://www.somogyi.hu/product/home-urc-lg-1-lg-taviranyito-lg-markaju-tv-keszulekekhez-nem-igenyel-beallitast-urc-lg-1-15433")</f>
        <v>0.0</v>
      </c>
      <c r="E695" s="7" t="n">
        <f>HYPERLINK("https://www.somogyi.hu/data/img/product_main_images/small/15433.jpg","https://www.somogyi.hu/data/img/product_main_images/small/15433.jpg")</f>
        <v>0.0</v>
      </c>
      <c r="F695" s="2" t="inlineStr">
        <is>
          <t>5999084934675</t>
        </is>
      </c>
      <c r="G695" s="4" t="inlineStr">
        <is>
          <t>Hogyan könnyítheti meg a tévézés élményét egy megfelelő távirányító?
A Home URC LG 1 távirányító tökéletes választás LG márkájú televíziókhoz, mivel előre kódolt, így nem igényel beállítást. Ez a könnyen használható távirányító azonnali működésre kész, egyszerűsíti a tévézés élményét anélkül, hogy időt kellene tölteni a konfigurálással.
Könnyen kezelhető és kényelmes
A Home URC LG 1 távirányító kifejezetten LG TV készülékekhez készült, így garantálja a tökéletes kompatibilitást. Az előre kódolt funkcióval nem kell bajlódni a programozással – csupán az elemeket kell behelyezni, és máris használatba vehető. Az egyszerű, intuitív design biztosítja, hogy minden fontos funkció könnyedén elérhető legyen.
Energiahatékony és praktikus
A Home URC LG 1 távirányító két 1,5V (AAA) elemmel működik (ezek nem tartoznak a csomaghoz), így mindig készen áll a használatra. Kompakt méretének köszönhetően könnyen kézbe illik, és nem foglal sok helyet.
Miért válassza a Home URC LG 1 távirányítót?
– Kifejezetten LG TV készülékekhez készült, tökéletes kompatibilitással – Előre kódolt, így nincs szükség beállításra – Könnyen használható és energiatakarékos – Kompakt és praktikus dizájn
Ne vesztegessen több időt a bonyolult beállításokkal! Vásárolja meg a Home URC LG 1 távirányítót, és élvezze a zökkenőmentes tévézést azonnal!</t>
        </is>
      </c>
    </row>
    <row r="696">
      <c r="A696" s="3" t="inlineStr">
        <is>
          <t>URC GATE</t>
        </is>
      </c>
      <c r="B696" s="2" t="inlineStr">
        <is>
          <t>Home URC GATE univerzális kapunyitó, tanítható, fix kódos, 433 MHz rendszerekhez, egyidejűleg 4 funkcióhoz vagy eszközhöz, fém előlap és keret</t>
        </is>
      </c>
      <c r="C696" s="1" t="n">
        <v>4290.0</v>
      </c>
      <c r="D696" s="7" t="n">
        <f>HYPERLINK("https://www.somogyi.hu/product/home-urc-gate-univerzalis-kapunyito-tanithato-fix-kodos-433-mhz-rendszerekhez-egyidejuleg-4-funkciohoz-vagy-eszkozhoz-fem-elolap-es-keret-urc-gate-15823","https://www.somogyi.hu/product/home-urc-gate-univerzalis-kapunyito-tanithato-fix-kodos-433-mhz-rendszerekhez-egyidejuleg-4-funkciohoz-vagy-eszkozhoz-fem-elolap-es-keret-urc-gate-15823")</f>
        <v>0.0</v>
      </c>
      <c r="E696" s="7" t="n">
        <f>HYPERLINK("https://www.somogyi.hu/data/img/product_main_images/small/15823.jpg","https://www.somogyi.hu/data/img/product_main_images/small/15823.jpg")</f>
        <v>0.0</v>
      </c>
      <c r="F696" s="2" t="inlineStr">
        <is>
          <t>5999084938574</t>
        </is>
      </c>
      <c r="G696" s="4" t="inlineStr">
        <is>
          <t>Unja már a különféle távirányítók és rendszerek keveredését? A Home URC GATE univerzális kapunyitó ideális megoldás azok számára, akik szeretnék egyszerűsíteni eszközeik irányítását. Tanítható az eredeti távirányítók alapján, így bármely 433 MHz frekvencián működő fix kódos rendszerhez könnyedén hozzárendelhető, legyen szó kapuról, garázsról vagy egyéb eszközként használt távirányítós készülékről.
Többfunkciós használat és praktikus kialakítás
Ez az univerzális távirányító nemcsak a kapu vagy garázsvezérlésére alkalmas, hanem akár háztartási készülékekhez, riasztókhoz vagy távirányítós aljzatokhoz is használható. Maximálisan 4 funkcióhoz vagy eszközhöz tanítható, így egyetlen eszközzel irányíthatja az összes kívánt készüléket. A fém előlap és keret, amely kulcstartóval is rendelkezik, praktikus és strapabíró megoldás, amely hosszú távon biztosítja a kényelmes használatot.
Egyszerű és kényelmes működtetés
A Home URC GATE távirányítóval elérhető kiváló hatótávolság, mely akár 30 méter távolságra is működteti a csatlakoztatott eszközöket, így garantálva a kényelmes és gyors kezelést. A 12V-os 27A elem, amely a csomag tartozéka, biztosítja a távirányító folyamatos működését. Az eszköz kompakt mérete és ergonomikus kialakítása lehetővé teszi, hogy bárhová magával viheti.
Miért válassza a Home URC GATE univerzális kapunyitót?
– Egyszerű tanítási lehetőség, kompatibilis a legtöbb 433 MHz fix kódos rendszerrel – Többfunkciós használat, akár 4 különböző eszközhöz is – Kiváló hatótávolság, akár 30 méter – Kényelmes, strapabíró fém kialakítás, kulcstartóval
Ne hagyja ki a lehetőséget, hogy egyszerűbbé és kényelmesebbé tegye mindennapjait! Szerezze be a Home URC GATE univerzális kapunyitót, és tapasztalja meg a könnyed irányítást már ma!</t>
        </is>
      </c>
    </row>
    <row r="697">
      <c r="A697" s="3" t="inlineStr">
        <is>
          <t>URC GR 1</t>
        </is>
      </c>
      <c r="B697" s="2" t="inlineStr">
        <is>
          <t>Home URC GR 1 GRUNDIG távirányító, GRUNDIG márkájú TV készülékekhez, nem igényel beállítást</t>
        </is>
      </c>
      <c r="C697" s="1" t="n">
        <v>2090.0</v>
      </c>
      <c r="D697" s="7" t="n">
        <f>HYPERLINK("https://www.somogyi.hu/product/home-urc-gr-1-grundig-taviranyito-grundig-markaju-tv-keszulekekhez-nem-igenyel-beallitast-urc-gr-1-17034","https://www.somogyi.hu/product/home-urc-gr-1-grundig-taviranyito-grundig-markaju-tv-keszulekekhez-nem-igenyel-beallitast-urc-gr-1-17034")</f>
        <v>0.0</v>
      </c>
      <c r="E697" s="7" t="n">
        <f>HYPERLINK("https://www.somogyi.hu/data/img/product_main_images/small/17034.jpg","https://www.somogyi.hu/data/img/product_main_images/small/17034.jpg")</f>
        <v>0.0</v>
      </c>
      <c r="F697" s="2" t="inlineStr">
        <is>
          <t>5999084950668</t>
        </is>
      </c>
      <c r="G697" s="4" t="inlineStr">
        <is>
          <t>Hogyan teheti a GRUNDIG televízió vezérlését egyszerűvé és problémamentessé? A Home URC GR 1 távirányító ideális választás mindazok számára, akik gyorsan és hatékonyan szeretnék kezelni GRUNDIG márkájú televízióikat. Az előre kódolt rendszernek köszönhetően nincs szükség bonyolult beállításokra vagy telepítési folyamatokra – csak helyezzen bele két darab AAA elemet (nem tartozék), és a távirányító azonnal használatra kész.
Zökkenőmentes működés a mindennapokra A távirányító kompatibilitása garantált, hiszen kifejezetten GRUNDIG márkájú TV-khez tervezték. Az előre programozott rendszer biztosítja, hogy a készülék azonnal csatlakozik a televízióhoz, így Önnek nincs más dolga, mint élvezni a kényelmes használatot. A Home URC GR 1 távirányítóval búcsút inthet a bonyolult és időigényes beállításoknak.
Ergonomikus kialakítás és modern megjelenés A távirányító ergonomikus formája biztosítja a kényelmes fogást, még hosszan tartó használat esetén is. Kompakt méretének köszönhetően könnyedén tárolható, masszív anyaghasználata pedig garantálja a hosszú élettartamot. Letisztult, modern designjával tökéletesen illeszkedik otthona bármely helyiségébe, miközben egyszerű és stílusos kiegészítője a GRUNDIG televízióknak.
Egyszerű üzemeltetés és energiatakarékos működés A távirányító működéséhez mindössze két darab 1,5 V-os AAA elem szükséges (nem tartozék). Ez az energiaforrás hosszú üzemidőt biztosít, miközben a vezeték nélküli kialakítás maximális rugalmasságot kínál. A készülék üzembe helyezése csupán néhány másodpercet vesz igénybe, így Ön azonnal élvezheti a televíziózás zavartalan élményét.
Miért válassza a Home URC GR 1 távirányítót? – Előre kódolt rendszerének köszönhetően azonnal használatra kész. – Kifejezetten GRUNDIG televíziókhoz tervezett, garantált kompatibilitással. – Ergonomikus, kényelmes kialakítás, amely hosszú távon is praktikus. – Strapabíró anyaghasználat és modern megjelenés, amely bármely otthonba illeszkedik. – Egyszerű és energiatakarékos üzemeltetés két AAA elem segítségével.
Ne hagyja, hogy egy elavult vagy rosszul működő távirányító rontsa a televíziózás élményét! A Home URC GR 1 távirányító a gyors, egyszerű és hatékony megoldás, amely biztosítja, hogy GRUNDIG televíziója mindig az Ön keze alatt legyen. Szerezze be most, és tapasztalja meg a gondtalan vezérlést!</t>
        </is>
      </c>
    </row>
    <row r="698">
      <c r="A698" s="3" t="inlineStr">
        <is>
          <t>URC PAN</t>
        </is>
      </c>
      <c r="B698" s="2" t="inlineStr">
        <is>
          <t>Home URC PAN Panasonic távirányító, Panasonic márkájú smart TV készülékekhez, nem igényel beállítást</t>
        </is>
      </c>
      <c r="C698" s="1" t="n">
        <v>3190.0</v>
      </c>
      <c r="D698" s="7" t="n">
        <f>HYPERLINK("https://www.somogyi.hu/product/home-urc-pan-panasonic-taviranyito-panasonic-markaju-smart-tv-keszulekekhez-nem-igenyel-beallitast-urc-pan-15435","https://www.somogyi.hu/product/home-urc-pan-panasonic-taviranyito-panasonic-markaju-smart-tv-keszulekekhez-nem-igenyel-beallitast-urc-pan-15435")</f>
        <v>0.0</v>
      </c>
      <c r="E698" s="7" t="n">
        <f>HYPERLINK("https://www.somogyi.hu/data/img/product_main_images/small/15435.jpg","https://www.somogyi.hu/data/img/product_main_images/small/15435.jpg")</f>
        <v>0.0</v>
      </c>
      <c r="F698" s="2" t="inlineStr">
        <is>
          <t>5999084934699</t>
        </is>
      </c>
      <c r="G698" s="4" t="inlineStr">
        <is>
          <t>Hogyan vezérelheti Panasonic televízióját egyszerűen és gond nélkül? A Home URC PAN távirányító kifejezetten Panasonic smart TV készülékekhez készült, hogy a televíziózás kényelmesebb és stresszmentes legyen. Az előre kódolt rendszernek köszönhetően az eszköz azonnal használatra kész, így nem kell időt töltenie bonyolult beállításokkal. Mindössze két darab AA elemre van szükség (nem tartozék), és a távirányító máris készen áll a használatra.
Egyszerű használat és zökkenőmentes működés A Home URC PAN távirányítót úgy tervezték, hogy az azonnali kompatibilitást biztosítsa a Panasonic márkájú okos TV készülékekkel. Az előre kódolt rendszer révén nem kell programozni vagy hosszú beállítási folyamatokat végrehajtani, így Ön azonnal élvezheti a gondtalan vezérlést. Ez az eszköz tökéletes megoldás, ha gyorsan és hatékonyan szeretné kezelni televízióját.
Kényelmes kialakítás a mindennapi használatra A távirányító ergonomikus formája kényelmes fogást biztosít, így hosszabb használat során is komfortos marad. Kompakt mérete lehetővé teszi, hogy könnyedén tárolható legyen, miközben masszív anyaghasználata tartósságot garantál. Letisztult, modern megjelenése harmonikusan illeszkedik otthona bármely helyiségébe, és stílusos kiegészítőként szolgál.
Energiatakarékos és praktikus működés A távirányító tápellátását két darab 1,5 V-os AA elem biztosítja (nem tartozék), amely hosszú élettartamot és vezeték nélküli rugalmasságot nyújt. Az egyszerű működés és a könnyű üzembe helyezés garantálja, hogy Ön a lehető leghamarabb élvezhesse a televíziózás örömeit.
Miért válassza a Home URC PAN távirányítót? – Előre kódolt rendszerrel rendelkezik, azonnal használatra kész. – Kifejezetten Panasonic smart TV-khez tervezték, garantált kompatibilitással. – Ergonomikus és kompakt kialakítása kényelmes, hosszú távú használatot biztosít. – Könnyen tárolható, modern megjelenése pedig stílusos kiegészítője lehet otthonának. – Elemről működik, így vezeték nélküli szabadságot kínál.
Növelje televíziózási élményét a Home URC PAN távirányítóval, amely a gyors használatot és a maximális kényelmet nyújtja! Szerezze be most, és tapasztalja meg, milyen egyszerű a vezérlés!</t>
        </is>
      </c>
    </row>
    <row r="699">
      <c r="A699" s="3" t="inlineStr">
        <is>
          <t>URCSAM3</t>
        </is>
      </c>
      <c r="B699" s="2" t="inlineStr">
        <is>
          <t>Home URCSAM3 távirányító, Samsung okos TV készülékekhez, előre kódolt</t>
        </is>
      </c>
      <c r="C699" s="1" t="n">
        <v>3190.0</v>
      </c>
      <c r="D699" s="7" t="n">
        <f>HYPERLINK("https://www.somogyi.hu/product/home-urcsam3-taviranyito-samsung-okos-tv-keszulekekhez-elore-kodolt-urcsam3-18438","https://www.somogyi.hu/product/home-urcsam3-taviranyito-samsung-okos-tv-keszulekekhez-elore-kodolt-urcsam3-18438")</f>
        <v>0.0</v>
      </c>
      <c r="E699" s="7" t="n">
        <f>HYPERLINK("https://www.somogyi.hu/data/img/product_main_images/small/18438.jpg","https://www.somogyi.hu/data/img/product_main_images/small/18438.jpg")</f>
        <v>0.0</v>
      </c>
      <c r="F699" s="2" t="inlineStr">
        <is>
          <t>5999084964566</t>
        </is>
      </c>
      <c r="G699" s="4" t="inlineStr">
        <is>
          <t>Hogyan teheti egyszerűvé a Samsung televíziók vezérlését bonyolult beállítások nélkül?
A Home URCSAM3 távirányító kifejezetten Samsung okos TV készülékekhez készült, hogy a televíziózás élményét könnyebbé és kényelmesebbé tegye. Az előre kódolt rendszer garantálja, hogy az eszköz azonnal használatra kész legyen, így Önnek nincs szüksége időigényes beállításokra. Csupán helyezzen bele két darab AAA elemet (nem tartozék), és máris irányíthatja televízióját.
Egyszerű működés, amely megkönnyíti a mindennapokat
Az előre programozott távirányító gyárilag beállított, így azonnal csatlakozik Samsung okos TV készülékéhez. Ez a megoldás nemcsak időt takarít meg, de biztosítja, hogy a készülék mindig zökkenőmentesen működjön. Ideális választás mindazok számára, akik gyorsan és hatékonyan szeretnék kezelni televíziójukat.
Ergonomikus és praktikus kialakítás
A Home URCSAM3 távirányító ergonomikus formatervezése révén kényelmes fogást biztosít, így hosszabb használat során is komfortos marad. Kompakt mérete könnyű tárolhatóságot tesz lehetővé, miközben strapabíró anyaghasználata biztosítja a hosszú élettartamot. Letisztult, modern megjelenése tökéletesen illeszkedik bármely otthoni környezetbe, ezzel növelve a használati élményt.
Könnyű üzembe helyezés és energiatakarékos működés
A távirányító üzemeltetése rendkívül egyszerű. Tápellátásához két darab 1,5 V-os AAA elem szükséges (nem tartozék), ami hosszú távú működést biztosít. A vezeték nélküli kialakítás szabad mozgást tesz lehetővé, így a televízió vezérlése minden helyzetben kényelmes.
Miért válassza a Home URCSAM3 távirányítót?
– Előre kódolt, azonnal használatra kész, nincs szükség beállításra.
– Kifejezetten Samsung okos TV készülékekhez tervezték, így garantált a kompatibilitás.
– Ergonomikus kialakításának köszönhetően kényelmes a használata.
– Strapabíró, hosszú élettartamú, modern megjelenéssel párosítva.
– Könnyű tápellátás két darab AAA elemmel, amely hosszú működési időt biztosít.
Élvezze a gyors és egyszerű televízióvezérlést a Home URCSAM3 távirányítóval! Válassza ezt a megbízható és praktikus megoldást, hogy a szórakozás zavartalan és kényelmes legyen!</t>
        </is>
      </c>
    </row>
    <row r="700">
      <c r="A700" s="3" t="inlineStr">
        <is>
          <t>URC PH</t>
        </is>
      </c>
      <c r="B700" s="2" t="inlineStr">
        <is>
          <t>Home URC PH Philips távirányító, Philips márkájú smart TV készülékekhez, nem igényel beállítást</t>
        </is>
      </c>
      <c r="C700" s="1" t="n">
        <v>3390.0</v>
      </c>
      <c r="D700" s="7" t="n">
        <f>HYPERLINK("https://www.somogyi.hu/product/home-urc-ph-philips-taviranyito-philips-markaju-smart-tv-keszulekekhez-nem-igenyel-beallitast-urc-ph-15436","https://www.somogyi.hu/product/home-urc-ph-philips-taviranyito-philips-markaju-smart-tv-keszulekekhez-nem-igenyel-beallitast-urc-ph-15436")</f>
        <v>0.0</v>
      </c>
      <c r="E700" s="7" t="n">
        <f>HYPERLINK("https://www.somogyi.hu/data/img/product_main_images/small/15436.jpg","https://www.somogyi.hu/data/img/product_main_images/small/15436.jpg")</f>
        <v>0.0</v>
      </c>
      <c r="F700" s="2" t="inlineStr">
        <is>
          <t>5999084934705</t>
        </is>
      </c>
      <c r="G700" s="4" t="inlineStr">
        <is>
          <t>Elromlott Philips TV-je távirányítója?
A Home URC PH Philips távirányító egy tökéletes megoldás a Philips márkájú okos TV-k készülékeinek kezelésére. Előre kódolt, így nem igényel beállítást, és azonnal használatra kész, ami garantálja a kényelmes és gyors vezérlést. Ez a távirányító ideális választás mindazok számára, akik szeretnék egyszerűsíteni a TV-készülékek vezérlését, miközben minimalizálják a szükséges eszközök számát.
Kiváló minőség és kényelmes használat
A Home URC PH Philips távirányító kimagaslóan ergonomikus kialakítással rendelkezik, így könnyedén kezelheti TV készülékét, anélkül hogy aggódnia kellene a kényelmetlenségek miatt. Mivel előre kódolt, az eszközt egyszerűen csatlakoztathatja a TV-hez, és máris élvezheti az irányítást anélkül, hogy bármilyen beállítást kellene elvégeznie. Mindez lehetővé teszi, hogy azonnal élvezhesse az összes funkciót, amit a Philips okos TV-je kínál.
Miért válassza a Home URC PH Philips távirányítót?
– Előre kódolt, nem szükséges beállítani – Könnyű és ergonomikus kialakítás – Tápellátás: 2 x 1,5V (AAA) elem (nem tartozék) – Kompatibilis Philips márkájú okos TV készülékekhez
Ne hagyja ki ezt a remek lehetőséget, hogy egy egyszerű, gyors és kényelmes módon irányíthassa Philips okos TV-jét! Rendelje meg most a Home URC PH Philips távirányítót, és élvezze a gördülékeny vezérlés minden előnyét!</t>
        </is>
      </c>
    </row>
    <row r="701">
      <c r="A701" s="3" t="inlineStr">
        <is>
          <t>URC 2000AC/SL</t>
        </is>
      </c>
      <c r="B701" s="2" t="inlineStr">
        <is>
          <t>Home URC 2000AC/SL univerzális légkondicionáló távirányító, 2000 működtető kód, 10000 típushoz, SMART elalvásmód, márka szerinti kézi beállítás</t>
        </is>
      </c>
      <c r="C701" s="1" t="n">
        <v>8290.0</v>
      </c>
      <c r="D701" s="7" t="n">
        <f>HYPERLINK("https://www.somogyi.hu/product/home-urc-2000ac-sl-univerzalis-legkondicionalo-taviranyito-2000-mukodteto-kod-10000-tipushoz-smart-elalvasmod-marka-szerinti-kezi-beallitas-urc-2000ac-sl-15032","https://www.somogyi.hu/product/home-urc-2000ac-sl-univerzalis-legkondicionalo-taviranyito-2000-mukodteto-kod-10000-tipushoz-smart-elalvasmod-marka-szerinti-kezi-beallitas-urc-2000ac-sl-15032")</f>
        <v>0.0</v>
      </c>
      <c r="E701" s="7" t="n">
        <f>HYPERLINK("https://www.somogyi.hu/data/img/product_main_images/small/15032.jpg","https://www.somogyi.hu/data/img/product_main_images/small/15032.jpg")</f>
        <v>0.0</v>
      </c>
      <c r="F701" s="2" t="inlineStr">
        <is>
          <t>5999084930660</t>
        </is>
      </c>
      <c r="G701" s="4" t="inlineStr">
        <is>
          <t>Miért ne egyszerűsítené le a légkondicionáló vezérlését egyetlen, sokoldalú távirányítóval?
Ha unja a különféle távirányítók használatát, és szeretné egyesíteni a kényelmet, akkor a Home URC 2000AC/SL univerzális légkondicionáló távirányító lesz az ideális megoldás. Ez az eszköz több mint 10000 típusú légkondicionáló működtetésére képes, és 2000 különböző működtető kóddal bármilyen igényes otthoni vagy irodai környezetbe illeszkedik.
Innovatív funkciók és egyszerű használat
A Home URC 2000AC/SL távirányítóval szinte minden klímaberendezés kényelmesen vezérelhető. Az eszköz SMART elalvás módot is tartalmaz, amely késleltetett hőmérsékletszabályozást biztosít, hogy az alvás közben is optimális környezetet élvezhessen. A készülék intelligens gyorshűtés és gyorsfűtés módokkal rendelkezik, hogy gyorsan alkalmazkodjon a hőmérsékletváltozásokhoz, miközben szobahőmérséklet kijelzése és folyamatos idő kijelzés biztosítja a pontos információkat.
Könnyű kezelhetőség és kényelmes használat
A márka szerinti kézi beállítás lehetővé teszi, hogy a távirányítót gyorsan és egyszerűen hozzáigazítsa a meglévő klímához. A nagy, jól olvasható kijelző világos visszajelzést ad minden funkcióról, a kék LED háttérvilágítás pedig segíti a távirányító használatát gyenge fényviszonyok között is. A ergonomikus, kézhez álló kialakítás biztosítja a kényelmes használatot, a fali tartókonzol pedig segít abban, hogy mindig kéznél legyen.
Miért válassza a Home URC 2000AC/SL univerzális légkondicionáló távirányítót?
– 2000 működtető kód több mint 10000 típusú légkondicionálóhoz – SMART elalvás mód késleltetett hőmérsékletszabályozással – Intelligens gyorshűtés és gyorsfűtés módok a kényelmes környezetért – Ergonomikus és könnyen kezelhető kialakítás, nagy kijelzővel – Kézhez álló, ergonomikus design és praktikus fali tartó
Ne hagyja ki ezt a kényelmes és funkciókban gazdag távirányítót! Vásárolja meg most a Home URC 2000AC/SL univerzális légkondicionáló távirányítót, és tegye még egyszerűbbé otthona hűtését és fűtését!</t>
        </is>
      </c>
    </row>
    <row r="702">
      <c r="A702" s="3" t="inlineStr">
        <is>
          <t>URCAIR1</t>
        </is>
      </c>
      <c r="B702" s="2" t="inlineStr">
        <is>
          <t>Home URCAIR1 SMART távirányító, 3in1, egér, billentyűzet, infra távirányító, tanítható, tölthető, légegér, air mouse</t>
        </is>
      </c>
      <c r="C702" s="1" t="n">
        <v>12190.0</v>
      </c>
      <c r="D702" s="7" t="n">
        <f>HYPERLINK("https://www.somogyi.hu/product/home-urcair1-smart-taviranyito-3in1-eger-billentyuzet-infra-taviranyito-tanithato-toltheto-legeger-air-mouse-urcair1-18716","https://www.somogyi.hu/product/home-urcair1-smart-taviranyito-3in1-eger-billentyuzet-infra-taviranyito-tanithato-toltheto-legeger-air-mouse-urcair1-18716")</f>
        <v>0.0</v>
      </c>
      <c r="E702" s="7" t="n">
        <f>HYPERLINK("https://www.somogyi.hu/data/img/product_main_images/small/18716.jpg","https://www.somogyi.hu/data/img/product_main_images/small/18716.jpg")</f>
        <v>0.0</v>
      </c>
      <c r="F702" s="2" t="inlineStr">
        <is>
          <t>5999084967345</t>
        </is>
      </c>
      <c r="G702" s="4" t="inlineStr">
        <is>
          <t>Hogyan teheti még kényelmesebbé és hatékonyabbá az okoseszközök használatát? A Home URCAIR1 SMART távirányító egy 3 az 1-ben eszköz, amely légegér, billentyűzet és infravörös távirányító funkciókat kínál egyetlen kompakt megoldásban. Ez az innovatív készülék vezeték nélküli technológiát alkalmaz, így tökéletes választás okos TV-khez, TV boxokhoz, média lejátszókhoz, játék konzolokhoz, projektorokhoz, számítógépekhez és más modern eszközökhöz. Az USB vevőhöz azonnal csatlakozik, és akár 10 méteres hatótávolságával a kényelmes vezérlést biztosítja.
Sokoldalúság, amely minden igényt kielégít A Home URCAIR1 SMART távirányító nemcsak egy infravörös távirányító, hanem manuális és 3D légegérként (AirMouse) is működik. A 6 tengelyes giroszkópos mozgásérzékelő precíz irányítást tesz lehetővé, miközben az állítható egérmutató sebesség (4 fokozatban) maximális rugalmasságot kínál. A QWERTY angol billentyűzet 45+12 gombjával könnyedén gépelhet, legyen szó jelszavak beírásáról, keresésekről vagy alkalmazások kezeléséről.
Energiahatekonyság és praktikus kialakítás Az eszköz beépített akkumulátorral rendelkezik (ajánlott töltők: SA 24USB, SA 50USB), amely megszünteti az elemcsere szükségességét. A készülék jelzi, amikor töltésre van szükség, és az automatikus alvó üzemmód hozzájárul az energiatakarékossághoz. A teljes töltési idő mindössze 4 óra, míg egyetlen töltéssel akár 6 órán keresztül üzemeltethető, készenléti módban pedig akár 6 hónapig is működőképes marad. A microUSB töltőkábel és az USB vevő tartozék, így Önnek nem kell külön kiegészítőket beszereznie.
Univerzális használhatóság és figyelemre méltó kompatibilitás Az infravörös távirányító tanítható funkcióval rendelkezik, amely a legtöbb TV-vel kompatibilis. Bár az univerzális működés nem minden esetben garantálható, a készülék számos eszközzel tökéletesen együttműködik. Használata intuitív és egyszerű, így ideális választás a modern otthonokban, ahol több eszközt kell egyetlen vezérlővel irányítani.
Miért válassza a Home URCAIR1 SMART távirányítót? – Három az egyben funkcionalitás: légegér, billentyűzet és távirányító. – Tanítható infravörös vezérlés a legtöbb televízióhoz. – Beépített akkumulátor energiatakarékos megoldással. – Kompakt és ergonomikus kialakítás a kényelmes használatért. – Univerzális kompatibilitás okoseszközökkel.
Tegye hatékonyabbá eszközeinek kezelését a Home URCAIR1 SMART távirányítóval! Fedezze fel, milyen egyszerű a modern technológia vezérlése ezzel a praktikus, többfunkciós eszközzel. Szerezze be most, és élvezze a kényelmet, amit a Home URCAIR1 nyújt!</t>
        </is>
      </c>
    </row>
    <row r="703">
      <c r="A703" s="3" t="inlineStr">
        <is>
          <t>URCHIS</t>
        </is>
      </c>
      <c r="B703" s="2" t="inlineStr">
        <is>
          <t>Home URCHIS távirányító, Hisense okos TV készülékekhez, előre kódolt</t>
        </is>
      </c>
      <c r="C703" s="1" t="n">
        <v>3390.0</v>
      </c>
      <c r="D703" s="7" t="n">
        <f>HYPERLINK("https://www.somogyi.hu/product/home-urchis-taviranyito-hisense-okos-tv-keszulekekhez-elore-kodolt-urchis-18437","https://www.somogyi.hu/product/home-urchis-taviranyito-hisense-okos-tv-keszulekekhez-elore-kodolt-urchis-18437")</f>
        <v>0.0</v>
      </c>
      <c r="E703" s="7" t="n">
        <f>HYPERLINK("https://www.somogyi.hu/data/img/product_main_images/small/18437.jpg","https://www.somogyi.hu/data/img/product_main_images/small/18437.jpg")</f>
        <v>0.0</v>
      </c>
      <c r="F703" s="2" t="inlineStr">
        <is>
          <t>5999084964559</t>
        </is>
      </c>
      <c r="G703" s="4" t="inlineStr">
        <is>
          <t>Hogyan könnyítheti meg a Hisense televízió vezérlését gyorsan és egyszerűen? A Home URCHIS távirányító kifejezetten Hisense márkájú okos TV-khez készült, hogy a készülékek kezelése zökkenőmentes legyen. Az előre kódolt rendszer lehetővé teszi az azonnali használatot, így nincs szükség semmilyen programozásra. Mindössze két darab AAA elem szükséges (nem tartozék), és máris használhatja új távirányítóját.
Egyszerű használat a mindennapokra A Home URCHIS távirányítót úgy tervezték, hogy minimalizálja a beállítási folyamatokat. Az előre programozott funkciók biztosítják, hogy a távirányító azonnal kompatibilis legyen a Hisense smart TV-kkel. Ez a praktikus megoldás ideális azok számára, akik gyorsan és hatékonyan szeretnék vezérelni televíziójukat, anélkül, hogy időt veszítenének a bonyolult beállításokkal.
Kényelmes kialakítás és letisztult design A távirányító ergonomikus kialakítása kényelmes fogást biztosít, még hosszan tartó használat során is. Kompakt mérete révén könnyen elfér a kézben, és egyszerűen tárolható, miközben strapabíró anyaghasználata garantálja a hosszú élettartamot. Modern megjelenésének köszönhetően a távirányító tökéletesen illeszkedik otthona bármely helyiségébe.
Gyors üzembe helyezés és energiatakarékos működés A távirányító működéséhez két darab 1,5 V-os AAA elem szükséges, amelyeket külön kell beszerezni. A vezeték nélküli kialakítás szabadságot biztosít, így Ön kényelmesen kezelheti televízióját a szoba bármely pontjáról. A telepítés néhány másodpercet vesz igénybe, így a készülék azonnal használatra kész.
Miért válassza a Home URCHIS távirányítót? – Előre kódolt rendszerének köszönhetően azonnal használatra kész, nem igényel programozást. – Kifejezetten Hisense smart TV-khez tervezték, garantált kompatibilitással. – Ergonomikus, kényelmes kialakítás a mindennapos használatra. – Strapabíró és modern design, amely harmonikusan illeszkedik otthonába. – Könnyen üzemeltethető, vezeték nélküli működést biztosít.
Tegye egyszerűvé a televízió vezérlést a Home URCHIS távirányítóval! A gyors használatra és kényelmes kezelésre tervezett eszköz megbízható társa lesz mindennapjaiban. Válassza ezt a praktikus megoldást, és élvezze a zavartalan szórakozást!</t>
        </is>
      </c>
    </row>
    <row r="704">
      <c r="A704" s="3" t="inlineStr">
        <is>
          <t>URC 10</t>
        </is>
      </c>
      <c r="B704" s="2" t="inlineStr">
        <is>
          <t>Home URC 10 univerzális távirányító, 8 távirányítót helyettesít, előre programozott, teletext funkció</t>
        </is>
      </c>
      <c r="C704" s="1" t="n">
        <v>2290.0</v>
      </c>
      <c r="D704" s="7" t="n">
        <f>HYPERLINK("https://www.somogyi.hu/product/home-urc-10-univerzalis-taviranyito-8-taviranyitot-helyettesit-elore-programozott-teletext-funkcio-urc-10-7097","https://www.somogyi.hu/product/home-urc-10-univerzalis-taviranyito-8-taviranyitot-helyettesit-elore-programozott-teletext-funkcio-urc-10-7097")</f>
        <v>0.0</v>
      </c>
      <c r="E704" s="7" t="n">
        <f>HYPERLINK("https://www.somogyi.hu/data/img/product_main_images/small/07097.jpg","https://www.somogyi.hu/data/img/product_main_images/small/07097.jpg")</f>
        <v>0.0</v>
      </c>
      <c r="F704" s="2" t="inlineStr">
        <is>
          <t>5998312760918</t>
        </is>
      </c>
      <c r="G704" s="4" t="inlineStr">
        <is>
          <t>Több távirányítóval kell megküzdenie, és már eleged van a káoszból? A Home URC 10 univerzális távirányító egy praktikus megoldás, hogy egyszerűsíthesse a háztartási eszközeinek irányítását! Ez az eszköz 8 különböző készülék vezérlésére képes: televíziók, videomagnók, műholdvevők, DVD lejátszók, hifi rendszerek, és kábel TV dekóderek – mind egyetlen távirányítóval irányítható!
Széleskörű kompatibilitás és kényelmes használat
A Home URC 10 előre programozott, így nem igényel bonyolult beállítást. A kódkiválasztás egyszerűen elvégezhető a gyorskeresési funkcióval vagy a készülék márkája alapján, így mindig gyorsan és hatékonyan megtalálhatja a megfelelő beállítást. A távirányító teletext funkcióval is rendelkezik, amely extra kényelmet biztosít a televízió használatakor. Az elemcsere miatti időszakos memória megőrzés lehetővé teszi, hogy ne kelljen újra beállítani a készülékeket, ha véletlenül lemerülnek az elemek.
Kényelmes és praktikus kialakítás
Ez az 8 in 1 távirányító ideális választás azoknak, akik szeretnék minimalizálni a távirányítók számát, miközben minden eszközüket könnyedén irányítják. A kompakt méret és az ergonomikus kialakítás lehetővé teszi, hogy kényelmesen használja, miközben csak 2 x AAA elemmel működik, amelyek hosszú ideig biztosítják a működést. A Home URC 10 a tökéletes választás, ha egyszerű, praktikus és sokoldalú távirányítóra van szüksége!
Miért válassza a Home URC 10 univerzális távirányítót?
– 8 készüléket irányíthat egyszerre, tévétől a videomagnóig – Előre programozott, így nincs szükség bonyolult beállításokra – Teletext funkció a kényelmes tévézéshez – Memória az elemcsere áthidalására
Ne hagyja ki a lehetőséget, hogy egyetlen távirányítóval vezérelje az összes készülékét! Szerezze be a Home URC 10 univerzális távirányítót most, és élvezze a kényelmes irányítást otthonában!</t>
        </is>
      </c>
    </row>
    <row r="705">
      <c r="A705" s="3" t="inlineStr">
        <is>
          <t>URC LG 2</t>
        </is>
      </c>
      <c r="B705" s="2" t="inlineStr">
        <is>
          <t>Home URC LG 2 LG távirányító, LG márkájú smart TV készülékekhez, nem igényel beállítást</t>
        </is>
      </c>
      <c r="C705" s="1" t="n">
        <v>3190.0</v>
      </c>
      <c r="D705" s="7" t="n">
        <f>HYPERLINK("https://www.somogyi.hu/product/home-urc-lg-2-lg-taviranyito-lg-markaju-smart-tv-keszulekekhez-nem-igenyel-beallitast-urc-lg-2-15434","https://www.somogyi.hu/product/home-urc-lg-2-lg-taviranyito-lg-markaju-smart-tv-keszulekekhez-nem-igenyel-beallitast-urc-lg-2-15434")</f>
        <v>0.0</v>
      </c>
      <c r="E705" s="7" t="n">
        <f>HYPERLINK("https://www.somogyi.hu/data/img/product_main_images/small/15434.jpg","https://www.somogyi.hu/data/img/product_main_images/small/15434.jpg")</f>
        <v>0.0</v>
      </c>
      <c r="F705" s="2" t="inlineStr">
        <is>
          <t>5999084934682</t>
        </is>
      </c>
      <c r="G705" s="4" t="inlineStr">
        <is>
          <t>Unja már a bonyolult beállításokkal járó távirányítók használatát? A Home URC LG 2 távirányítóval mindent könnyedén irányíthat, anélkül, hogy bármilyen bonyolult konfigurációra lenne szüksége. Előre kódolt, így nem kell időt vesztegetnie, hogy beállítsa vagy konfigurálja – csupán helyezze be az elemeket, és máris használhatja az LG okos TV készülékekhez.
Tökéletes kompatibilitás és egyszerű használat
A Home URC LG 2 távirányító kifejezetten LG márkájú okos TV készülékekhez lett tervezve, így biztosítja a tökéletes kompatibilitást minden modern LG televízióval. Az előre kódolt megoldásnak köszönhetően nem igényel beállítást, ami azt jelenti, hogy pillanatok alatt elkezdheti a használatát, akár egy frissen vásárolt tévével is.
Praktikus és energiatakarékos
A távirányító 2 db 1,5V (AAA) elemmel működik, amelyek cseréje gyors és egyszerű. Bár a csomag nem tartalmazza az elemeket, biztosítja a hosszú élettartamot és az energiatakarékos működést, így mindig kész lesz a használatra. A kiváló kompakt kialakítás és a kényelmes kezelés mindent megad, amit egy távirányítótól elvárhat.
Miért válassza a Home URC LG 2 távirányítót?
– Tökéletes kompatibilitás minden LG okos TV-hez – Előre kódolt, nincs szükség beállításra – Egyszerű, gyors használat és kényelmes elérhetőség – Energikus és hosszú élettartamú elemekkel
Ne hagyja ki a kényelmes és gyors irányítást! Szerezze be most a Home URC LG 2 távirányítót, és tapasztalja meg, milyen könnyedén vezérelheti LG TV-jét minden egyes gombnyomással!</t>
        </is>
      </c>
    </row>
    <row r="706">
      <c r="A706" s="3" t="inlineStr">
        <is>
          <t>URC SAM 2</t>
        </is>
      </c>
      <c r="B706" s="2" t="inlineStr">
        <is>
          <t>Home URC SAM 2 Samsung távirányító, Samsung márkájú TV készülékekhez, nem igényel beállítást</t>
        </is>
      </c>
      <c r="C706" s="1" t="n">
        <v>3190.0</v>
      </c>
      <c r="D706" s="7" t="n">
        <f>HYPERLINK("https://www.somogyi.hu/product/home-urc-sam-2-samsung-taviranyito-samsung-markaju-tv-keszulekekhez-nem-igenyel-beallitast-urc-sam-2-15438","https://www.somogyi.hu/product/home-urc-sam-2-samsung-taviranyito-samsung-markaju-tv-keszulekekhez-nem-igenyel-beallitast-urc-sam-2-15438")</f>
        <v>0.0</v>
      </c>
      <c r="E706" s="7" t="n">
        <f>HYPERLINK("https://www.somogyi.hu/data/img/product_main_images/small/15438.jpg","https://www.somogyi.hu/data/img/product_main_images/small/15438.jpg")</f>
        <v>0.0</v>
      </c>
      <c r="F706" s="2" t="inlineStr">
        <is>
          <t>5999084934729</t>
        </is>
      </c>
      <c r="G706" s="4" t="inlineStr">
        <is>
          <t>Miért válassza a Home URC SAM 2 Samsung távirányítót?
Képzelje el, hogy egy új távirányítóval irányíthatja Samsung TV készülékét, amely tökéletesen illeszkedik az Ön igényeihez. A Home URC SAM 2 Samsung távirányító az ideális választás minden Samsung TV felhasználó számára, hiszen előre kódolt, így nincs szükség beállításra. Az egyszerű és kényelmes használat érdekében csupán helyezze be az elemeket, és máris élvezheti a sima és gyors vezérlést.
Kiváló funkcionalitás és könnyed irányítás
Ez a távirányító kifejezetten Samsung márkájú TV készülékekhez lett tervezve, így biztosítva a tökéletes kompatibilitást. Az előre kódolt technológia lehetővé teszi, hogy gyorsan és könnyedén kezelje a televízió összes funkcióját anélkül, hogy bármilyen beállítást végezne. Az egyszerű használat és a kényelmes elérhetőség minden egyes gombnál garantált, így sosem kell keresgélnie a kívánt funkciókat.
Praktikus és energiatakarékos
A Home URC SAM 2 távirányító 2 db 1,5V (AAA) elemmel működik, amelyeket a csomag nem tartalmaz. Ez a megoldás biztosítja a hosszú üzemidőt és az egyszerű cserét, miközben a távirányító energiatakarékos működése folyamatos kényelmet nyújt Önnek.
Miért válassza a Home URC SAM 2 Samsung távirányítót?
– Tökéletes kompatibilitás minden Samsung TV készülékkel – Előre kódolt, nincs szükség beállításokra – Egyszerű kezelhetőség és kényelmes funkciók – Energiatakarékos, hosszú üzemidő
Ne hagyja ki a könnyű és praktikus irányítást – szerezze be most a Home URC SAM 2 Samsung távirányítót, és élvezze a zökkenőmentes televíziózást!</t>
        </is>
      </c>
    </row>
    <row r="707">
      <c r="A707" s="6" t="inlineStr">
        <is>
          <t xml:space="preserve">   Lakáskiegészítő / Fali tartó</t>
        </is>
      </c>
      <c r="B707" s="6" t="inlineStr">
        <is>
          <t/>
        </is>
      </c>
      <c r="C707" s="6" t="inlineStr">
        <is>
          <t/>
        </is>
      </c>
      <c r="D707" s="6" t="inlineStr">
        <is>
          <t/>
        </is>
      </c>
      <c r="E707" s="6" t="inlineStr">
        <is>
          <t/>
        </is>
      </c>
      <c r="F707" s="6" t="inlineStr">
        <is>
          <t/>
        </is>
      </c>
      <c r="G707" s="6" t="inlineStr">
        <is>
          <t/>
        </is>
      </c>
    </row>
    <row r="708">
      <c r="A708" s="3" t="inlineStr">
        <is>
          <t>LCDH 291</t>
        </is>
      </c>
      <c r="B708" s="2" t="inlineStr">
        <is>
          <t>Home LCDH 291 LCD/LED TV fali tartó, 23” - 55” képernyőméretig, max. 30 kg teherbírás, teljesen mozgatható, fali rögzítő elemek tartozékok</t>
        </is>
      </c>
      <c r="C708" s="1" t="n">
        <v>10890.0</v>
      </c>
      <c r="D708" s="7" t="n">
        <f>HYPERLINK("https://www.somogyi.hu/product/home-lcdh-291-lcd-led-tv-fali-tarto-23-55-kepernyomeretig-max-30-kg-teherbiras-teljesen-mozgathato-fali-rogzito-elemek-tartozekok-lcdh-291-18110","https://www.somogyi.hu/product/home-lcdh-291-lcd-led-tv-fali-tarto-23-55-kepernyomeretig-max-30-kg-teherbiras-teljesen-mozgathato-fali-rogzito-elemek-tartozekok-lcdh-291-18110")</f>
        <v>0.0</v>
      </c>
      <c r="E708" s="7" t="n">
        <f>HYPERLINK("https://www.somogyi.hu/data/img/product_main_images/small/18110.jpg","https://www.somogyi.hu/data/img/product_main_images/small/18110.jpg")</f>
        <v>0.0</v>
      </c>
      <c r="F708" s="2" t="inlineStr">
        <is>
          <t>5999084961329</t>
        </is>
      </c>
      <c r="G708" s="4" t="inlineStr">
        <is>
          <t>Hogyan rögzítheti biztonságosan és kényelmesen televízióját a falra, maximális rugalmasság mellett? A Home LCDH 291 LCD/LED TV fali tartó a tökéletes megoldás, ha 23” és 55” közötti képernyőméretű televízióját biztonságosan és stílusosan szeretné elhelyezni. A tartó akár 30 kg-os teherbírással is rendelkezik, és a teljesen mozgatható kialakításának köszönhetően maximális rugalmasságot kínál. A praktikus fali rögzítő elemeket a csomag tartalmazza, így Önnek nem kell külön alkatrészeket keresgélnie.
Stabilitás és biztonság minden helyzetben Ez a fali tartó masszív fém alapanyagból készült, amely garantálja a hosszú távú megbízhatóságot és teherbírást. Az eszköz VESA-kompatibilis kialakításának köszönhetően szinte minden 23” és 55” közötti LCD/LED televízióval kompatibilis, beleértve a leggyakrabban használt rögzítési szabványokat (VESA 100x100-tól 400x400-ig). Akár otthonában, akár irodában használja, a Home LCDH 291 tartó biztosítja, hogy televíziója mindig stabilan és biztonságosan rögzítve legyen.
Maximális rugalmasság és mozgathatóság A tartó teljes mértékben mozgatható, így Ön könnyedén beállíthatja a kívánt szöget. A készülék +3° és -10° között billenthető, valamint jobbra és balra egyaránt akár 90°-ban forgatható, így minden helyiségben tökéletes kényelmet biztosít. Ez a funkció ideális megoldást jelent különböző elrendezésű szobákban vagy többfunkciós helyiségekben is.
Egyszerű telepítés és praktikus tartozékok A Home LCDH 291 tartóval a telepítés gyerekjáték, hiszen a csomag minden szükséges fali rögzítő elemet tartalmaz. Az átgondolt kialakításnak köszönhetően a szerelés gyors és egyszerű, miközben a végeredmény stabil és esztétikus lesz. A masszív, strapabíró anyagok használata hosszú távú megbízhatóságot garantál.
Miért válassza a Home LCDH 291 fali tartót? – Masszív és strapabíró kialakítás, akár 30 kg-os terhelhetőséggel. – Teljes mértékben mozgatható, a maximális rugalmasság érdekében. – Egyszerű telepítés a mellékelt rögzítő elemekkel. – Kompatibilis a leggyakoribb VESA szabványokkal. – Letisztult, modern design, amely illeszkedik minden enteriőrbe.
Helyezze televízióját a megfelelő pozícióba a Home LCDH 291 fali tartóval! Tegye kényelmessé és biztonságossá a televíziózás élményét, és élvezze a tökéletes nézési szöget minden helyzetben. Szerezze be még ma, és hozza ki a maximumot a technológiából!</t>
        </is>
      </c>
    </row>
    <row r="709">
      <c r="A709" s="3" t="inlineStr">
        <is>
          <t>LCDH 18</t>
        </is>
      </c>
      <c r="B709" s="2" t="inlineStr">
        <is>
          <t>Home LCDH 18 LCD/LED TV fali tartó, 32”-55” képernyőméretig, max. 40 kg teherbírás, billenthető, beépített vízszintező, tartozék rögzítő elemek</t>
        </is>
      </c>
      <c r="C709" s="1" t="n">
        <v>6390.0</v>
      </c>
      <c r="D709" s="7" t="n">
        <f>HYPERLINK("https://www.somogyi.hu/product/home-lcdh-18-lcd-led-tv-fali-tarto-32-55-kepernyomeretig-max-40-kg-teherbiras-billentheto-beepitett-vizszintezo-tartozek-rogzito-elemek-lcdh-18-14588","https://www.somogyi.hu/product/home-lcdh-18-lcd-led-tv-fali-tarto-32-55-kepernyomeretig-max-40-kg-teherbiras-billentheto-beepitett-vizszintezo-tartozek-rogzito-elemek-lcdh-18-14588")</f>
        <v>0.0</v>
      </c>
      <c r="E709" s="7" t="n">
        <f>HYPERLINK("https://www.somogyi.hu/data/img/product_main_images/small/14588.jpg","https://www.somogyi.hu/data/img/product_main_images/small/14588.jpg")</f>
        <v>0.0</v>
      </c>
      <c r="F709" s="2" t="inlineStr">
        <is>
          <t>5999084926304</t>
        </is>
      </c>
      <c r="G709" s="4" t="inlineStr">
        <is>
          <t>Hogyan helyezheti el televízióját stabilan, biztonságosan és stílusosan a falon? A Home LCDH 18 LCD/LED TV fali tartó ideális választás, ha szeretné televízióját helytakarékosan és esztétikusan elhelyezni otthonában vagy irodájában. Ez a fali tartó 32” és 55” közötti képernyőméretű készülékekhez készült, akár 40 kg-os teherbírással. A beépített vízszintező garantálja az egyszerű és pontos felszerelést, míg a tartozék rögzítő elemek megkönnyítik a telepítést.
Biztonság és stabilitás minden helyzetben A tartó masszív, fém alapanyaga kiváló stabilitást nyújt, biztosítva a 40 kg-ig terjedő teherbírást. A VESA-kompatibilis kialakításnak köszönhetően szinte minden 32” és 55” közötti képernyőméretű televízióval kompatibilis, beleértve a leggyakrabban használt rögzítési szabványokat (200x200-tól 400x400-ig). Akár otthoni szórakozáshoz, akár professzionális környezetben használja, a Home LCDH 18 fali tartó garantálja televíziója biztonságos és stabil elhelyezését.
Rugalmasság a tökéletes látványélményért A tartó billenthető kialakítása lehetővé teszi, hogy a képernyőt +12° és -12° között állítsa be, így mindig megtalálhatja az optimális látószöget. Ez különösen hasznos, ha a televízió többféle nézési pozícióból is látható, például egy nappaliban vagy tárgyalóban. A rugalmasságot növeli a precíz elhelyezést segítő beépített vízszintező, amely biztosítja, hogy a képernyő mindig egyenes legyen.
Egyszerű telepítés és tartozékok A Home LCDH 18 fali tartó könnyedén és gyorsan felszerelhető. A csomag tartalmaz minden szükséges rögzítő elemet, így Önnek nem kell külön tartozékokat keresnie. Az átgondolt kialakítás és a praktikus funkciók garantálják, hogy a telepítés stresszmentes és gyors legyen.
Miért válassza a Home LCDH 18 fali tartót? – Masszív fém alapanyag a hosszú távú stabilitás érdekében. – Billenthető kialakítás a tökéletes nézési szögért. – Beépített vízszintező a precíz elhelyezéshez. – Kompatibilis a leggyakoribb VESA szabványokkal. – Egyszerű telepítés a mellékelt rögzítő elemekkel.
Tegye stílusossá és praktikusabbá televíziója elhelyezését a Home LCDH 18 fali tartóval! Biztosítsa a kényelmes nézési élményt és a maximális stabilitást egyetlen eszközzel.</t>
        </is>
      </c>
    </row>
    <row r="710">
      <c r="A710" s="3" t="inlineStr">
        <is>
          <t>LCDH 071</t>
        </is>
      </c>
      <c r="B710" s="2" t="inlineStr">
        <is>
          <t>Home LCDH 071 LCD/LED TV fali tartó, 23”-42” képernyőméretig, max. 45 kg teherbírás, fix, tartozék rögzítő elemek</t>
        </is>
      </c>
      <c r="C710" s="1" t="n">
        <v>4890.0</v>
      </c>
      <c r="D710" s="7" t="n">
        <f>HYPERLINK("https://www.somogyi.hu/product/home-lcdh-071-lcd-led-tv-fali-tarto-23-42-kepernyomeretig-max-45-kg-teherbiras-fix-tartozek-rogzito-elemek-lcdh-071-18107","https://www.somogyi.hu/product/home-lcdh-071-lcd-led-tv-fali-tarto-23-42-kepernyomeretig-max-45-kg-teherbiras-fix-tartozek-rogzito-elemek-lcdh-071-18107")</f>
        <v>0.0</v>
      </c>
      <c r="E710" s="7" t="n">
        <f>HYPERLINK("https://www.somogyi.hu/data/img/product_main_images/small/18107.jpg","https://www.somogyi.hu/data/img/product_main_images/small/18107.jpg")</f>
        <v>0.0</v>
      </c>
      <c r="F710" s="2" t="inlineStr">
        <is>
          <t>5999084961299</t>
        </is>
      </c>
      <c r="G710" s="4" t="inlineStr">
        <is>
          <t>Hogyan rögzítheti televízióját stabilan és helytakarékosan egy kisebb helyiségben is? A Home LCDH 071 LCD/LED TV fali tartó praktikus megoldást kínál 23”-42” képernyőméretű televíziók számára, akár 45 kg-os teherbírással. Fix kialakítása lehetővé teszi a készülék biztonságos elhelyezését, miközben helyet szabadít fel, és modern, letisztult megjelenést kölcsönöz a szobának.
Masszív és biztonságos kialakítás
A tartó fém alapanyagból készült, amely hosszú élettartamot és megbízható stabilitást nyújt. A maximum 45 kg teherbírás biztosítja, hogy még a nehezebb televíziók is problémamentesen felszerelhetők legyenek. Fix kialakítása elkerüli a véletlen mozgásokat, így a képernyő mindig a helyén marad.
Egyszerű telepítés a gyors és kényelmes használatért
A rugós, automata rögzítés révén a televízió felszerelése gyors, egyszerű és problémamentes. A csomagban található rögzítő elemek megkönnyítik a szerelést, így Önnek nem kell külön tartozékokat keresnie. Az intelligens kialakítás garantálja, hogy a képernyő mindig szorosan és stabilan rögzítve legyen.
Kompatibilitás számos televíziótípussal
A tartó széles körű VESA-kompatibilitása (75x75,100x100,100x150,150x100,100x200,200x100,150x150,200x200) lehetővé teszi, hogy különböző méretű és típusú LCD/LED televíziókkal is használható legyen. Ez a sokoldalúság biztosítja, hogy bármilyen modern készülékhez megfelelő megoldást nyújtson.
Miért válassza a Home LCDH 071 fali tartót?
– Ideális 23”-42” képernyőméretű televíziókhoz – 45 kg-os teherbírás, amely biztosítja a stabil elhelyezést – Strapabíró fém alapanyagok a tartósságért – Rugós, automata rögzítés az egyszerű használatért – Széles VESA-kompatibilitás különböző televíziómodellekhez – A csomag tartalmazza az összes szükséges rögzítő elemet
Válassza a Home LCDH 071 fali tartót, és teremtsen modern, helytakarékos megoldást otthonában! Élvezze a stabilitást, a kényelmet és a stílust egyetlen termékben.</t>
        </is>
      </c>
    </row>
    <row r="711">
      <c r="A711" s="3" t="inlineStr">
        <is>
          <t>LCDH 30</t>
        </is>
      </c>
      <c r="B711" s="2" t="inlineStr">
        <is>
          <t>Home LCDH 30 LCD/LED TV fali tartó, 60” - 100” képernyőméretig, max. 75 kg teherbírás, automata rögzítés gyorskioldó, vízszintezővel, rögzítő elemek</t>
        </is>
      </c>
      <c r="C711" s="1" t="n">
        <v>22590.0</v>
      </c>
      <c r="D711" s="7" t="n">
        <f>HYPERLINK("https://www.somogyi.hu/product/home-lcdh-30-lcd-led-tv-fali-tarto-60-100-kepernyomeretig-max-75-kg-teherbiras-automata-rogzites-gyorskioldo-vizszintezovel-rogzito-elemek-lcdh-30-16544","https://www.somogyi.hu/product/home-lcdh-30-lcd-led-tv-fali-tarto-60-100-kepernyomeretig-max-75-kg-teherbiras-automata-rogzites-gyorskioldo-vizszintezovel-rogzito-elemek-lcdh-30-16544")</f>
        <v>0.0</v>
      </c>
      <c r="E711" s="7" t="n">
        <f>HYPERLINK("https://www.somogyi.hu/data/img/product_main_images/small/16544.jpg","https://www.somogyi.hu/data/img/product_main_images/small/16544.jpg")</f>
        <v>0.0</v>
      </c>
      <c r="F711" s="2" t="inlineStr">
        <is>
          <t>5999084945763</t>
        </is>
      </c>
      <c r="G711" s="4" t="inlineStr">
        <is>
          <t>Hogyan helyezheti el biztonságosan és kényelmesen extra nagy képernyőméretű televízióját? A Home LCDH 30 LCD/LED TV fali tartó a nagy méretű televíziók tökéletes megoldása, amely akár 60” és 100” közötti képernyőméretekhez is ideális. A 75 kg-os teherbírás, a rugós, automata rögzítés és a gyorskioldó szalag kombinációja lehetővé teszi a stabil és könnyen kezelhető elhelyezést. A beépített vízszintező és a mellékelt rögzítő elemek gondoskodnak a gyors és precíz telepítésről.
Masszív szerkezet a maximális stabilitás érdekében A tartó masszív fém alapanyagból készült, amely garantálja a hosszú élettartamot és a biztos rögzítést. A 75 kg-os maximális teherbírás biztosítja, hogy a legnagyobb képernyőmérettel rendelkező televíziók is stabilan rögzíthetők legyenek. A széleskörű VESA-kompatibilitás (200x200, 300x200, 300x300, 400x200, 400x300, 400x400, 600x400, 600x600, 800x600, 900x600) lehetővé teszi, hogy különböző televíziókkal használható legyen, így rugalmas megoldást kínál bármilyen modern LCD/LED készülékhez.
Kényelmes használat rugós, automata rögzítéssel A rugós, automata rögzítés megkönnyíti a televízió falra történő biztonságos és stabil felszerelését. A gyorskioldó szalag lehetővé teszi, hogy a készüléket könnyedén eltávolíthassa a tartóról karbantartás vagy áthelyezés esetén. Ez a praktikus kialakítás egyszerre nyújt stabilitást és kényelmet, amely különösen fontos a nagy méretű televíziók esetén.
Beépített vízszintező a precíz rögzítéshez A tartó beépített vízszintezője biztosítja, hogy a képernyő mindig egyenesen álljon, ami nemcsak esztétikai szempontból fontos, hanem az élményt is javítja. A precíz rögzítéshez a csomag minden szükséges tartozékot tartalmaz, így a telepítés gyors és egyszerű.
Miért válassza a Home LCDH 30 fali tartót? – Kifejezetten nagy méretű televíziókhoz tervezett, akár 100”-os képernyőig. – Strapabíró kialakítás, amely 75 kg-os teherbírást biztosít. – Automata rögzítéssel és gyorskioldó szalaggal a könnyű használat érdekében. – Beépített vízszintező a pontos telepítéshez. – Kompatibilis a legelterjedtebb VESA szabványokkal.
Hozza ki a legtöbbet televíziójából a Home LCDH 30 fali tartóval! Tapasztalja meg a stabilitás, a rugalmasság és a könnyű telepítés előnyeit, amely tökéletes választás a legnagyobb képernyők számára is.</t>
        </is>
      </c>
    </row>
    <row r="712">
      <c r="A712" s="3" t="inlineStr">
        <is>
          <t>LCDH 33</t>
        </is>
      </c>
      <c r="B712" s="2" t="inlineStr">
        <is>
          <t>Home LCDH 33 LCD/LED TV fali tartó, 37"-80" képernyőméretig, 45 kg teherbírás, teljesen mozgatható, fali rögzítő elemek tartozékok</t>
        </is>
      </c>
      <c r="C712" s="1" t="n">
        <v>24390.0</v>
      </c>
      <c r="D712" s="7" t="n">
        <f>HYPERLINK("https://www.somogyi.hu/product/home-lcdh-33-lcd-led-tv-fali-tarto-37-80-kepernyomeretig-45-kg-teherbiras-teljesen-mozgathato-fali-rogzito-elemek-tartozekok-lcdh-33-17893","https://www.somogyi.hu/product/home-lcdh-33-lcd-led-tv-fali-tarto-37-80-kepernyomeretig-45-kg-teherbiras-teljesen-mozgathato-fali-rogzito-elemek-tartozekok-lcdh-33-17893")</f>
        <v>0.0</v>
      </c>
      <c r="E712" s="7" t="n">
        <f>HYPERLINK("https://www.somogyi.hu/data/img/product_main_images/small/17893.jpg","https://www.somogyi.hu/data/img/product_main_images/small/17893.jpg")</f>
        <v>0.0</v>
      </c>
      <c r="F712" s="2" t="inlineStr">
        <is>
          <t>5999084959159</t>
        </is>
      </c>
      <c r="G712" s="4" t="inlineStr">
        <is>
          <t>Hogyan helyezheti el nagy képernyőjű televízióját stabilan, elegánsan és rugalmasan? A Home LCDH 33 LCD/LED TV fali tartó tökéletes megoldás 37” és 80” közötti képernyőméretű televíziókhoz, akár 45 kg-os teherbírással. Ez a teljesen mozgatható fali tartó nemcsak a maximális stabilitást garantálja, hanem a kényelmes használatot is támogatja a praktikus kábelrendező rendszerrel és a mellékelt rögzítő elemekkel.
Biztonság és stabilitás minden méretben A Home LCDH 33 fali tartó strapabíró fém alapanyagokból készült, amely biztosítja a hosszú távú megbízhatóságot és az akár 45 kg-os teherbírást. A széleskörű VESA-kompatibilitás (200x200, 200x300, 300x200, 200x400, 400x200, 300x300, 300x400, 400x300, 600x200, 400x400, 600x300, 600x400) lehetővé teszi, hogy a tartót különböző méretű és típusú LCD/LED televíziókkal használja, így bármely modern készülékkel könnyen párosítható.
Teljes mozgathatóság a tökéletes látványélményért Ez a fali tartó teljesen mozgatható kialakítással rendelkezik, így könnyedén beállíthatja televízióját a legideálisabb pozícióba. Akár nappaliban, hálószobában vagy irodában használja, a Home LCDH 33 biztosítja, hogy a képernyő mindig a legjobb szögben helyezkedjen el, így minden nézőpontból tökéletes élményt nyújt.
Praktikus kábelrendező a tiszta megjelenésért A tartó beépített kábelrendező rendszere segít az esztétikus és rendezett megjelenés fenntartásában. A kábelek így nem zavarják a látványt, és könnyedén hozzáférhetők maradnak, ami különösen fontos a nagyobb képernyők esetében, ahol a kábelek száma is több lehet.
Egyszerű telepítés tartozék rögzítő elemekkel A Home LCDH 33 telepítése egyszerű és gyors, hiszen minden szükséges rögzítő elemet tartalmaz a csomag. Az átgondolt kialakítás nemcsak a biztonságos rögzítést biztosítja, hanem a telepítési folyamatot is megkönnyíti, így Ön gyorsan élvezheti televíziója új helyét.
Miért válassza a Home LCDH 33 fali tartót? – Stabil és biztonságos rögzítés akár 80”-os televíziókhoz is. – Teljes mozgathatóság a maximális rugalmasságért. – Praktikus kábelrendező rendszer az esztétikus megjelenéshez. – Kompatibilitás a legelterjedtebb VESA szabványokkal. – Egyszerű telepítés a mellékelt rögzítő elemekkel.
Helyezze televízióját stílusosan és praktikusan a falra a Home LCDH 33 fali tartóval! Élvezze a tökéletes látványélményt és a rendezett megjelenést minden helyiségben. Rendelje meg most, és tapasztalja meg a professzionális rögzítés előnyeit!</t>
        </is>
      </c>
    </row>
    <row r="713">
      <c r="A713" s="3" t="inlineStr">
        <is>
          <t>LCDS95</t>
        </is>
      </c>
      <c r="B713" s="2" t="inlineStr">
        <is>
          <t>Home LCDS95 biztonsági heveder-pár TV-khez, max 120 kg, 95 cm</t>
        </is>
      </c>
      <c r="C713" s="1" t="n">
        <v>5390.0</v>
      </c>
      <c r="D713" s="7" t="n">
        <f>HYPERLINK("https://www.somogyi.hu/product/home-lcds95-biztonsagi-heveder-par-tv-khez-max-120-kg-95-cm-lcds95-18994","https://www.somogyi.hu/product/home-lcds95-biztonsagi-heveder-par-tv-khez-max-120-kg-95-cm-lcds95-18994")</f>
        <v>0.0</v>
      </c>
      <c r="E713" s="7" t="n">
        <f>HYPERLINK("https://www.somogyi.hu/data/img/product_main_images/small/18994.jpg","https://www.somogyi.hu/data/img/product_main_images/small/18994.jpg")</f>
        <v>0.0</v>
      </c>
      <c r="F713" s="2" t="inlineStr">
        <is>
          <t>5999084969882</t>
        </is>
      </c>
      <c r="G713" s="4" t="inlineStr">
        <is>
          <t>Hogyan óvhatja meg családját a felboruló televíziók veszélyétől?
A Home LCDS95 biztonsági heveder-pár hatékony megoldást nyújt a televíziók felborulásának megelőzésére. Ha kisgyermek vagy háziállat van a háztartásban, kiemelten fontos a stabil és biztonságos rögzítés, hogy megelőzhető legyen a balesetveszély. Ez az erős, fém pántokkal ellátott biztonsági heveder akár 120 kg terhelést is elbír, így garantálja a stabil rögzítést, akár nagyobb méretű készülékek esetében is.
Maximális biztonság otthonában
- Hatékony védelem – megelőzi a TV felborulását
- Gyermek- és háziállatbarát megoldás – csökkenti a balesetek kockázatát
- Erős fém pántok – masszív és strapabíró szerkezet a biztos rögzítés érdekében
- 95 cm hosszúság – megfelelő távolságot biztosít a biztonságos rögzítéshez
Könnyen telepíthető, megbízható rögzítés
- Egyszerű és gyors összeszerelés – nem igényel speciális szerszámokat
- Univerzális használat – szinte az összes televízióhoz használható
- Nagy teherbírás (max. 120 kg) – stabil és hosszú távon megbízható kialakítás
- Elegáns és visszafogott megjelenés – nem rontja a szoba esztétikáját
Miért érdemes a Home LCDS95 biztonsági hevedert választani?
- Hatékonyan csökkenti a TV felborulásának veszélyét
- Könnyen és gyorsan telepíthető
- Erős fém rögzítők és masszív heveder a maximális stabilitásért
- Akár 120 kg teherbírás, így nagyobb készülékekhez is alkalmas
Ne bízza a véletlenre otthona biztonságát! A Home LCDS95 biztonsági hevederrel megóvhatja családját a felboruló készülékek okozta balesetektől!</t>
        </is>
      </c>
    </row>
    <row r="714">
      <c r="A714" s="3" t="inlineStr">
        <is>
          <t>LCDH 321</t>
        </is>
      </c>
      <c r="B714" s="2" t="inlineStr">
        <is>
          <t>Home LCDH 321 LCD/LED TV fali tartó, 23” - 55” képernyőméretig, max. 30 kg teherbírás, teljesen mozgatható, fali rögzítő elemek tartozékok</t>
        </is>
      </c>
      <c r="C714" s="1" t="n">
        <v>7290.0</v>
      </c>
      <c r="D714" s="7" t="n">
        <f>HYPERLINK("https://www.somogyi.hu/product/home-lcdh-321-lcd-led-tv-fali-tarto-23-55-kepernyomeretig-max-30-kg-teherbiras-teljesen-mozgathato-fali-rogzito-elemek-tartozekok-lcdh-321-18109","https://www.somogyi.hu/product/home-lcdh-321-lcd-led-tv-fali-tarto-23-55-kepernyomeretig-max-30-kg-teherbiras-teljesen-mozgathato-fali-rogzito-elemek-tartozekok-lcdh-321-18109")</f>
        <v>0.0</v>
      </c>
      <c r="E714" s="7" t="n">
        <f>HYPERLINK("https://www.somogyi.hu/data/img/product_main_images/small/18109.jpg","https://www.somogyi.hu/data/img/product_main_images/small/18109.jpg")</f>
        <v>0.0</v>
      </c>
      <c r="F714" s="2" t="inlineStr">
        <is>
          <t>5999084961312</t>
        </is>
      </c>
      <c r="G714" s="4" t="inlineStr">
        <is>
          <t>Hogyan helyezheti el televízióját biztonságosan és a legjobb élmény érdekében? A Home LCDH 321 LCD/LED TV fali tartó ideális választás mindazok számára, akik 23” és 55” közötti képernyőméretű televíziójukat biztonságosan, helytakarékosan és könnyen mozgathatóan szeretnék elhelyezni. Az akár 30 kg-os teherbírás, a teljesen mozgatható kialakítás és a tartozék fali rögzítő elemek garantálják, hogy a felszerelés stabil és egyszerű legyen.
Rugalmasság és stabilitás minden helyzetben Ez a fali tartó masszív fém alapanyagból készült, amely biztosítja a 30 kg-ig terjedő teherbírást. A VESA-kompatibilis kialakításnak köszönhetően szinte minden 23” és 55” közötti LCD/LED televízióval kompatibilis. A támogatott szabványok (100x100, 100x200, 200x100, 200x200, 300x200, 400x200, 300x300, 400x300, 400x400) széles körű alkalmazhatóságot biztosítanak, így a legtöbb modern készülékhez könnyedén használható.
Teljes mozgathatóság a maximális kényelem érdekében A Home LCDH 321 fali tartó teljes mértékben mozgatható, így a képernyőt pontosan az Ön igényeihez igazíthatja. A tartó 20,8 cm-re kinyújtható, amikor nagyobb rugalmasságra van szükség, vagy összecsukható akár 6 cm-re, ha szorosan a falhoz szeretné rögzíteni. Ez a rugalmasság lehetővé teszi, hogy a televízió bármely helyiségben optimális pozícióban legyen, legyen szó nappaliról, hálószobáról vagy irodáról.
Egyszerű telepítés és tartozék rögzítő elemek A csomag tartalmaz minden szükséges fali rögzítő elemet, így a telepítés gyorsan és egyszerűen elvégezhető. Az átgondolt kialakítás biztosítja, hogy a tartó felszerelése stresszmentes legyen, miközben a végeredmény stabil és esztétikus megjelenést nyújt.
Miért válassza a Home LCDH 321 fali tartót? – Teljes mozgathatóság, amely maximális rugalmasságot biztosít. – Masszív fém szerkezet, amely 30 kg-os teherbírást garantál. – VESA-kompatibilis kialakítás a legtöbb modern televízióhoz. – Könnyű telepítés a mellékelt rögzítő elemek segítségével. – Helytakarékos összecsukható dizájn, amely esztétikus megjelenést nyújt.
Válassza a Home LCDH 321 fali tartót, és élvezze a televíziózás kényelmét! Ideális megoldás a stabil, helytakarékos és rugalmas elhelyezés érdekében.</t>
        </is>
      </c>
    </row>
    <row r="715">
      <c r="A715" s="3" t="inlineStr">
        <is>
          <t>LCDH 31</t>
        </is>
      </c>
      <c r="B715" s="2" t="inlineStr">
        <is>
          <t>Home LCDH 31 LCD/LED TV fali tartó, 37” - 90” képernyőméretig, max. 75 kg teherbírás, teljesen mozgatható, fali rögzítő elemek tartozékok</t>
        </is>
      </c>
      <c r="C715" s="1" t="n">
        <v>44690.0</v>
      </c>
      <c r="D715" s="7" t="n">
        <f>HYPERLINK("https://www.somogyi.hu/product/home-lcdh-31-lcd-led-tv-fali-tarto-37-90-kepernyomeretig-max-75-kg-teherbiras-teljesen-mozgathato-fali-rogzito-elemek-tartozekok-lcdh-31-16545","https://www.somogyi.hu/product/home-lcdh-31-lcd-led-tv-fali-tarto-37-90-kepernyomeretig-max-75-kg-teherbiras-teljesen-mozgathato-fali-rogzito-elemek-tartozekok-lcdh-31-16545")</f>
        <v>0.0</v>
      </c>
      <c r="E715" s="7" t="n">
        <f>HYPERLINK("https://www.somogyi.hu/data/img/product_main_images/small/16545.jpg","https://www.somogyi.hu/data/img/product_main_images/small/16545.jpg")</f>
        <v>0.0</v>
      </c>
      <c r="F715" s="2" t="inlineStr">
        <is>
          <t>5999084945770</t>
        </is>
      </c>
      <c r="G715" s="4" t="inlineStr">
        <is>
          <t>Hogyan biztosíthatja televíziója stabil, biztonságos és rugalmas elhelyezését nagy képernyőméretek esetén? A Home LCDH 31 LCD/LED TV fali tartó kiváló választás, ha 37” és 90” közötti képernyőméretű televízióját szeretné praktikus és elegáns módon a falra rögzíteni. Ez a tartó akár 75 kg-os teherbírással rendelkezik, így biztosítja a legnagyobb készülékek stabilitását is. A teljes mozgathatóság és a mellékelt vízszintező garantálja, hogy a televíziót a tökéletes pozícióba állíthassa.
Masszív szerkezet a maximális biztonság érdekében A Home LCDH 31 tartó strapabíró fém alapanyagból készült, amely kiemelkedő stabilitást és hosszú élettartamot biztosít. Akár 75 kg-os teherbírásával a legtöbb modern LCD/LED televíziót könnyedén megtartja, így Ön nyugodtan élvezheti kedvenc műsorait. A széles VESA-kompatibilitás (200x200, 300x300, 400x200, 400x400, 600x400, 800x400) lehetővé teszi, hogy a tartó különböző méretű és típusú televíziókkal használható legyen, a kisebb készülékektől a nagyobb képernyőkig.
Teljes mozgathatóság a legjobb nézési élményért A tartó kinyújtható akár 63,5 cm-ig, ha rugalmas elhelyezésre van szüksége, vagy összecsukható mindössze 6,9 cm-re, hogy helyet takarítson meg. Ez a rugalmasság lehetővé teszi, hogy televízióját a helyiség adottságaihoz igazítsa, legyen szó nappaliról, hálószobáról vagy irodáról. A mellékelt vízszintező segít a precíz és egyszerű felszerelésben, így garantáltan tökéletes lesz a végeredmény.
Egyszerű telepítés és tartozékok A csomag tartalmaz minden szükséges fali rögzítő elemet, amelyek megkönnyítik a tartó felszerelését. Az átgondolt kialakítás biztosítja, hogy a telepítés gyors és stresszmentes legyen, miközben a végeredmény esztétikus és biztonságos rögzítést garantál.
Miért válassza a Home LCDH 31 fali tartót? – Akár 90”-os televíziókhoz is használható, a 75 kg-os teherbírásnak köszönhetően. – Teljes mozgathatóság, amely rugalmas elhelyezést biztosít. – Kompatibilis a legelterjedtebb VESA szabványokkal. – Könnyű telepítés a mellékelt rögzítő elemekkel és vízszintezővel. – Helytakarékos kialakítás az elegáns megjelenésért.
Hozza ki a legtöbbet televíziójából a Home LCDH 31 fali tartóval! Élvezze a stabil, biztonságos és esztétikus elhelyezés előnyeit, miközben a tökéletes nézési élményt biztosítja.</t>
        </is>
      </c>
    </row>
    <row r="716">
      <c r="A716" s="3" t="inlineStr">
        <is>
          <t>LCDH 081</t>
        </is>
      </c>
      <c r="B716" s="2" t="inlineStr">
        <is>
          <t>Home LCDH 081 LCD/LED TV fali tartó, 32”-55” képernyőméretig, max. 45 kg teherbírás, fix, tartozék rögzítő elemek</t>
        </is>
      </c>
      <c r="C716" s="1" t="n">
        <v>5490.0</v>
      </c>
      <c r="D716" s="7" t="n">
        <f>HYPERLINK("https://www.somogyi.hu/product/home-lcdh-081-lcd-led-tv-fali-tarto-32-55-kepernyomeretig-max-45-kg-teherbiras-fix-tartozek-rogzito-elemek-lcdh-081-18108","https://www.somogyi.hu/product/home-lcdh-081-lcd-led-tv-fali-tarto-32-55-kepernyomeretig-max-45-kg-teherbiras-fix-tartozek-rogzito-elemek-lcdh-081-18108")</f>
        <v>0.0</v>
      </c>
      <c r="E716" s="7" t="n">
        <f>HYPERLINK("https://www.somogyi.hu/data/img/product_main_images/small/18108.jpg","https://www.somogyi.hu/data/img/product_main_images/small/18108.jpg")</f>
        <v>0.0</v>
      </c>
      <c r="F716" s="2" t="inlineStr">
        <is>
          <t>5999084961305</t>
        </is>
      </c>
      <c r="G716" s="4" t="inlineStr">
        <is>
          <t>Hogyan biztosíthatja televíziója stabil és esztétikus elhelyezését, miközben helyet szabadít fel otthonában? A Home LCDH 081 LCD/LED TV fali tartó praktikus és biztonságos megoldás 32"-55" méretű televíziók számára, akár 45 kg-os teherbírással. Ez a fix kialakítású tartó megbízhatóan tartja készülékét, miközben modern és helytakarékos megjelenést biztosít otthonának.
Kiváló teherbírás és strapabíró anyaghasználat
A tartó fém alapanyagból készült, amely nemcsak tartósságot, hanem modern, letisztult megjelenést is nyújt. Az akár 45 kg teherbírás biztosítja, hogy a nehezebb televíziók is stabilan a helyükön maradjanak. Fix kialakítása garantálja, hogy a képernyő mindig biztonságosan rögzítve legyen, elkerülve a nem kívánt mozgásokat.
Egyszerű szerelés automata rögzítéssel
A rugós, automata rögzítés gyorssá és problémamentessé teszi a telepítést. Az intelligens kialakítás révén a televízió könnyedén rögzíthető, miközben az extra stabilitásért a mellékelt rögzítő elemek is hozzájárulnak. A csomag minden szükséges alkatrészt tartalmaz, hogy a felszerelés egyszerű és precíz legyen.
Széles körű VESA-kompatibilitás
A tartó kompatibilis számos VESA szabvánnyal (75x75,100x100,100x150,150x100,100x200,200x100,150x150,200x200,300x200,400x200,300x300,400x300,400x400), így különböző televíziómodellekhez is tökéletesen illeszkedik. Ez a sokoldalúság lehetővé teszi, hogy rugalmas megoldást nyújtson a különböző méretű és típusú LCD/LED készülékek számára.
Miért válassza a Home LCDH 081 fali tartót?
– Ideális választás 32"-55" képernyőméretű televíziókhoz – 45 kg-os teherbírás, amely biztosítja a stabil rögzítést – Fém alapanyagok a tartósság és a modern megjelenés érdekében – Rugós, automata rögzítés, amely megkönnyíti a telepítést – Széles VESA-kompatibilitás a különböző televíziómodellekhez – Minden szükséges rögzítő elem a csomagban a gyors és egyszerű szereléshez
Hozza ki a legtöbbet televíziójából a Home LCDH 081 fali tartóval! Élvezze a biztonságos, helytakarékos és modern kialakítást, amely minden otthon tökéletes kiegészítője.</t>
        </is>
      </c>
    </row>
    <row r="717">
      <c r="A717" s="3" t="inlineStr">
        <is>
          <t>LCDH 19</t>
        </is>
      </c>
      <c r="B717" s="2" t="inlineStr">
        <is>
          <t>Home LCDH 19 LCD/LED TV fali tartó, 37”-70” képernyőméretig, max. 40 kg teherbírás, billenthető, beépített vízszintező, tartozék rögzítő elemek</t>
        </is>
      </c>
      <c r="C717" s="1" t="n">
        <v>6990.0</v>
      </c>
      <c r="D717" s="7" t="n">
        <f>HYPERLINK("https://www.somogyi.hu/product/home-lcdh-19-lcd-led-tv-fali-tarto-37-70-kepernyomeretig-max-40-kg-teherbiras-billentheto-beepitett-vizszintezo-tartozek-rogzito-elemek-lcdh-19-14587","https://www.somogyi.hu/product/home-lcdh-19-lcd-led-tv-fali-tarto-37-70-kepernyomeretig-max-40-kg-teherbiras-billentheto-beepitett-vizszintezo-tartozek-rogzito-elemek-lcdh-19-14587")</f>
        <v>0.0</v>
      </c>
      <c r="E717" s="7" t="n">
        <f>HYPERLINK("https://www.somogyi.hu/data/img/product_main_images/small/14587.jpg","https://www.somogyi.hu/data/img/product_main_images/small/14587.jpg")</f>
        <v>0.0</v>
      </c>
      <c r="F717" s="2" t="inlineStr">
        <is>
          <t>5999084926298</t>
        </is>
      </c>
      <c r="G717" s="4" t="inlineStr">
        <is>
          <t>Hogyan helyezheti el nagy méretű televízióját biztonságosan és esztétikusan a falon? A Home LCDH 19 LCD/LED TV fali tartó tökéletes megoldást kínál, ha 37” és 70” közötti képernyőméretű televízióját szeretné praktikus és helytakarékos módon rögzíteni. Az akár 40 kg-os teherbírás, a billenthető kialakítás és a beépített vízszintező garantálja, hogy a készülék stabilan és pontosan a kívánt pozícióban legyen elhelyezve. A csomagban található rögzítő elemekkel a telepítés gyors és egyszerű.
Stabilitás és biztonság a nagy méretű képernyők számára A tartó masszív fém alapanyagból készült, amely biztosítja a maximális stabilitást még a nagyobb és nehezebb televíziók esetén is. Az akár 40 kg-os teherbírás lehetővé teszi, hogy a legtöbb modern LCD/LED készüléket könnyedén rögzítse. A széleskörű VESA-kompatibilitásnak köszönhetően a tartó alkalmas a legnépszerűbb rögzítési szabványokkal (200x200, 400x200, 300x300, 400x400, 600x400), így kompatibilitási problémák nélkül használható.
Rugalmas beállítások a kényelmes nézési élményért A Home LCDH 19 fali tartó +/- 12°-os billenthetőséget kínál, amely lehetővé teszi a képernyő szögének finomhangolását a tökéletes látvány érdekében. Ez különösen hasznos, ha a televíziót több különböző nézőpontból használják, vagy ha a fal magassága miatt módosítani kell a dőlésszöget. A beépített vízszintező segít a precíz telepítésben, így a képernyő mindig tökéletesen egyenesen áll.
Egyszerű telepítés és praktikus kialakítás A csomagban található tartozék rögzítő elemek minden szükséges alkatrészt biztosítanak a gyors és stresszmentes telepítéshez. Az átgondolt kialakítás nemcsak a könnyű szerelhetőséget segíti elő, hanem esztétikus megjelenést is nyújt, amely harmonikusan illeszkedik bármely modern enteriőrbe.
Miért válassza a Home LCDH 19 fali tartót? – Kifejezetten nagy méretű televíziókhoz tervezett, akár 70”-os képernyőkig. – Strapabíró kialakítás, amely biztosítja a 40 kg-os terhelhetőséget. – Billenthető funkció a tökéletes látószögért. – Beépített vízszintező a precíz és egyszerű felszereléshez. – Kompatibilis a legelterjedtebb VESA szabványokkal.
Tegye otthona vagy irodája központi elemévé televízióját a Home LCDH 19 fali tartó segítségével! Élvezze a stabil, praktikus és esztétikus elhelyezést, amely maximális kényelmet nyújt a mindennapokban.</t>
        </is>
      </c>
    </row>
    <row r="718">
      <c r="A718" s="3" t="inlineStr">
        <is>
          <t>LCDH 01/BK</t>
        </is>
      </c>
      <c r="B718" s="2" t="inlineStr">
        <is>
          <t>Home LCDH 01/BK fali tartó, hangfalakhoz, max. 15 kg teherbírású, 3 ponton forgatható tartókar, alumíniumöntvény konstrukció, tartozék szerelvények</t>
        </is>
      </c>
      <c r="C718" s="1" t="n">
        <v>11290.0</v>
      </c>
      <c r="D718" s="7" t="n">
        <f>HYPERLINK("https://www.somogyi.hu/product/home-lcdh-01-bk-fali-tarto-hangfalakhoz-max-15-kg-teherbirasu-3-ponton-forgathato-tartokar-aluminiumontveny-konstrukcio-tartozek-szerelvenyek-lcdh-01-bk-14432","https://www.somogyi.hu/product/home-lcdh-01-bk-fali-tarto-hangfalakhoz-max-15-kg-teherbirasu-3-ponton-forgathato-tartokar-aluminiumontveny-konstrukcio-tartozek-szerelvenyek-lcdh-01-bk-14432")</f>
        <v>0.0</v>
      </c>
      <c r="E718" s="7" t="n">
        <f>HYPERLINK("https://www.somogyi.hu/data/img/product_main_images/small/14432.jpg","https://www.somogyi.hu/data/img/product_main_images/small/14432.jpg")</f>
        <v>0.0</v>
      </c>
      <c r="F718" s="2" t="inlineStr">
        <is>
          <t>5999084924805</t>
        </is>
      </c>
      <c r="G718" s="4" t="inlineStr">
        <is>
          <t>Hogyan érheti el, hogy hangfala mindig a tökéletes helyzetben legyen, miközben biztonságosan rögzül? A Home LCDH 01/BK fali tartó ideális választás hangfalak és kisebb LCD/plazma televíziók stabil és praktikus elhelyezésére. A tartó maximum 15 kg-os teherbírású, három ponton forgatható tartókarja és dönthető alaplapja segítségével rendkívül tág határok között állítható a látószög, így a hangzás és megjelenítés mindig az igényeinek megfelelően alakítható.
Stabil és strapabíró kialakítás
Az alumíniumöntvényből készült tartó rendkívül tartós, miközben könnyed megjelenésével modern, letisztult stílust képvisel. A 15 kg-os teherbírás biztosítja, hogy a kisebb televíziók és hangszórók biztonságosan rögzíthetők legyenek, míg a fekete szín tökéletesen illeszkedik bármilyen enteriőrbe. Az alaplap kialakítása kompatibilis a VESA szabványokkal (75x75, 100x100), így széles körben alkalmazható különböző készülékekhez.
Funkcionális és sokoldalú beállíthatóság
A három ponton forgatható tartókar lehetővé teszi a hangszóró vagy televízió pozíciójának precíz beállítását, miközben a dönthető alaplap további rugalmasságot biztosít. Ez a funkció ideális, ha a szoba különböző pontjairól szeretne optimális hangzást vagy látványt elérni. Az állítható látószög lehetővé teszi, hogy minden helyzetben a legjobb pozícióba állíthassa a készüléket, anélkül, hogy a stabilitás csökkenne.
Egyszerű telepítés és teljes felszereltség
A csomag minden szükséges szerelvényt tartalmaz, hogy a telepítés gyors és problémamentes legyen. Az intelligens kialakítás egyszerűvé teszi a rögzítést, miközben a tartó masszív szerkezete garantálja a hosszú távú biztonságot és megbízhatóságot.
Miért ideális a Home LCDH 01/BK fali tartó?
– Tökéletes megoldás hangfalakhoz és kisebb televíziókhoz – Maximum 15 kg-os teherbírás a stabil rögzítés érdekében – Három ponton forgatható tartókar a rugalmas beállításhoz – Dönthető alaplap a látószög pontos kialakításához – Alumíniumöntvény konstrukció a tartósságért és elegáns megjelenésért – VESA kompatibilitás (75x75, 100x100) széleskörű alkalmazhatóságot biztosít – Tartalmazza a telepítéshez szükséges szerelvényeket
Válassza a Home LCDH 01/BK fali tartót, és élvezze a precíz hangzást és megjelenítést minden helyzetben! Biztosítsa hangfala vagy televíziója tökéletes helyzetét egyszerűen és stílusosan.</t>
        </is>
      </c>
    </row>
    <row r="719">
      <c r="A719" s="6" t="inlineStr">
        <is>
          <t xml:space="preserve">   Lakáskiegészítő / Akkumulátortöltő, elemteszter</t>
        </is>
      </c>
      <c r="B719" s="6" t="inlineStr">
        <is>
          <t/>
        </is>
      </c>
      <c r="C719" s="6" t="inlineStr">
        <is>
          <t/>
        </is>
      </c>
      <c r="D719" s="6" t="inlineStr">
        <is>
          <t/>
        </is>
      </c>
      <c r="E719" s="6" t="inlineStr">
        <is>
          <t/>
        </is>
      </c>
      <c r="F719" s="6" t="inlineStr">
        <is>
          <t/>
        </is>
      </c>
      <c r="G719" s="6" t="inlineStr">
        <is>
          <t/>
        </is>
      </c>
    </row>
    <row r="720">
      <c r="A720" s="3" t="inlineStr">
        <is>
          <t>ET 3</t>
        </is>
      </c>
      <c r="B720" s="2" t="inlineStr">
        <is>
          <t>Home ET 3 elemteszter, gombelemek, rúdelemek és 9 V-os telepek ellenőrzéséhez, egyszerű és gyors, áttekinthető kezelés</t>
        </is>
      </c>
      <c r="C720" s="1" t="n">
        <v>2690.0</v>
      </c>
      <c r="D720" s="7" t="n">
        <f>HYPERLINK("https://www.somogyi.hu/product/home-et-3-elemteszter-gombelemek-rudelemek-es-9-v-os-telepek-ellenorzesehez-egyszeru-es-gyors-attekintheto-kezeles-et-3-11998","https://www.somogyi.hu/product/home-et-3-elemteszter-gombelemek-rudelemek-es-9-v-os-telepek-ellenorzesehez-egyszeru-es-gyors-attekintheto-kezeles-et-3-11998")</f>
        <v>0.0</v>
      </c>
      <c r="E720" s="7" t="n">
        <f>HYPERLINK("https://www.somogyi.hu/data/img/product_main_images/small/11998.jpg","https://www.somogyi.hu/data/img/product_main_images/small/11998.jpg")</f>
        <v>0.0</v>
      </c>
      <c r="F720" s="2" t="inlineStr">
        <is>
          <t>5999084902100</t>
        </is>
      </c>
      <c r="G720" s="4" t="inlineStr">
        <is>
          <t>Honnan tudhatja biztosan, hogy elemei és telepei még megfelelően működnek? A Home ET 3 elemteszter praktikus és megbízható eszköz, amely lehetővé teszi különböző típusú elemek és telepek gyors és pontos ellenőrzését. Akár gombelemeket, rúdelemeket vagy 9 V-os telepeket szeretne tesztelni, ez a készülék egyszerű és áttekinthető kezelést kínál mindennapi használatra.
Sokoldalú kompatibilitás minden helyzetben
A Home ET 3 elemteszter számos elem- és teleptípushoz használható: – 1,5 Voltos elemek: AG, AAA, AA, C, D típusok – 9 Voltos telepek: 6LR61 szabvány
Ez a széleskörű kompatibilitás garantálja, hogy bármilyen háztartásban megtalálható elem vagy telep állapotát ellenőrizheti, így időt és pénzt takaríthat meg azzal, hogy csak a valóban szükséges cseréket végzi el.
Gyors és egyszerű kezelés
A készülék átlátható kialakítása megkönnyíti a használatot, így bárki gyorsan és egyszerűen tesztelheti az elemek állapotát. Az egyszerű kezelőfelület lehetővé teszi, hogy néhány másodperc alatt pontos eredményt kapjon az adott elem vagy telep működőképességéről.
Terheléses tesztelés a pontos eredményekért
A terheléses tesztelés funkció lehetővé teszi, hogy ne csak az elem vagy telep feszültségét mérje, hanem annak tényleges működési állapotát is ellenőrizze. Ez különösen fontos olyan készülékek esetén, ahol a megfelelő teljesítmény elengedhetetlen.
Kompakt méret és hordozhatóság
A mindössze 110 x 60 x 25 mm méretű elemteszter kis helyet foglal, és könnyen hordozható, így mindig kéznél lehet, ha szüksége van rá. Ideális otthoni használatra, de műhelyekben vagy professzionális környezetben is hasznos társ.
Miért jó választás a Home ET 3 elemteszter?
– Kompatibilis gombelemekkel, rúdelemekkel és 9 V-os telepekkel – Egyszerű, gyors és áttekinthető kezelést biztosít – Terheléses tesztelés a pontos eredményekért – Kompakt méret, amely megkönnyíti a tárolást és szállítást – Megbízható eszköz az akkumulátorok és telepek működésének ellenőrzésére
Válassza a Home ET 3 elemtesztert, és takarítson meg időt és energiát az elemek állapotának ellenőrzésével!</t>
        </is>
      </c>
    </row>
    <row r="721">
      <c r="A721" s="3" t="inlineStr">
        <is>
          <t>SBC 2</t>
        </is>
      </c>
      <c r="B721" s="2" t="inlineStr">
        <is>
          <t>Home SBC 2 akkumulátortöltő, Li-ion és Ni-Mh akkumulátorok töltésére, rövidzárlat elleni védelem, powerbank funkció, fordított polaritás érzékelés</t>
        </is>
      </c>
      <c r="C721" s="1" t="n">
        <v>9190.0</v>
      </c>
      <c r="D721" s="7" t="n">
        <f>HYPERLINK("https://www.somogyi.hu/product/home-sbc-2-akkumulatortolto-li-ion-es-ni-mh-akkumulatorok-toltesere-rovidzarlat-elleni-vedelem-powerbank-funkcio-forditott-polaritas-erzekeles-sbc-2-17947","https://www.somogyi.hu/product/home-sbc-2-akkumulatortolto-li-ion-es-ni-mh-akkumulatorok-toltesere-rovidzarlat-elleni-vedelem-powerbank-funkcio-forditott-polaritas-erzekeles-sbc-2-17947")</f>
        <v>0.0</v>
      </c>
      <c r="E721" s="7" t="n">
        <f>HYPERLINK("https://www.somogyi.hu/data/img/product_main_images/small/17947.jpg","https://www.somogyi.hu/data/img/product_main_images/small/17947.jpg")</f>
        <v>0.0</v>
      </c>
      <c r="F721" s="2" t="inlineStr">
        <is>
          <t>5999084959692</t>
        </is>
      </c>
      <c r="G721" s="4" t="inlineStr">
        <is>
          <t>Hogyan töltheti biztonságosan és egyszerűen különböző típusú akkumulátorait, miközben akár powerbankként is használhatja készülékét? A Home SBC 2 akkumulátortöltő egy sokoldalú és megbízható eszköz, amely kifejezetten Li-ion és Ni-MH akkumulátorok töltésére készült. Továbbá a beépített powerbank funkció lehetővé teszi, hogy készüléke bármikor praktikus energiával szolgáljon. Rövidzárlat és túlfeszültség elleni védelemmel ellátva, ez az akkumulátortöltő tökéletes választás azok számára, akik biztonságos és hatékony megoldást keresnek.
Kompatibilitás különböző akkumulátortípusokkal
Ez a töltő alkalmas számos akkumulátortípus töltésére, beleértve a Li-ion (3,7 V: 10400, 14500, 16340, 17670, 18350, 18500, 18650, 26650) és a Ni-MH/Ni-Cd (AA, AAA, AAAA, C) akkumulátorokat. Különféle töltőáramok közül választhat, így az eszköz akár egy vagy két akkumulátor töltését is hatékonyan kezeli.
- Li-ion akkumulátorok esetén: 1 akkumulátor: 0,5 A / 1 A / 2 A, 2 akkumulátor: 0,5 A / 1 A
- Ni-MH/Ni-Cd akkumulátorok esetén: 0,5 A töltőáram
Ez a rugalmasság garantálja, hogy az akkumulátorok optimális töltést kapjanak, maximalizálva azok élettartamát.
Biztonságos működés és praktikus védelem
A Home SBC 2 akkumulátortöltő rövidzárlat elleni védelemmel, túlfeszültség elleni védelemmel és fordított polaritás érzékeléssel rendelkezik, így a használat minden körülmények között teljesen biztonságos. Ezek a fejlett funkciók minimalizálják az akkumulátorok károsodásának kockázatát, miközben Ön nyugodtan végezheti mindennapi teendőit.
Kompakt méret és könnyű hordozhatóság
A készülék csupán 131 x 68,2 x 38,5 mm méretű és mindössze 109 g súlyú, így könnyedén hordozható és helytakarékosan tárolható. A mellékelt microUSB kábel biztosítja az egyszerű és gyors tápellátást (5 V, 2000 mA), amely szinte bármilyen USB-porttal kompatibilis.
Powerbank funkció – az extra energiaforrás
A beépített powerbank funkciónak köszönhetően a Home SBC 2 nemcsak töltésre használható, hanem bármikor áramforrásként is szolgálhat, hogy útközben is könnyedén energiát biztosítson eszközei számára.
Miért hasznos Önnek a Home SBC 2 akkumulátortöltő?
– Kompatibilis a legelterjedtebb Li-ion és Ni-MH/Ni-Cd akkumulátorokkal – Többféle töltőáram-beállítás a hatékony töltés érdekében – Rövidzárlat és túlfeszültség elleni védelem a maximális biztonságért – Powerbank funkció a mindennapi praktikumhoz – Kompakt méret és könnyű súly a hordozhatóságért – Fordított polaritás érzékelés a hibamentes működéshez – Tartozék microUSB kábel a gyors és egyszerű tápellátáshoz
Válassza a Home SBC 2 akkumulátortöltőt, és tapasztalja meg a sokoldalúság és biztonság tökéletes kombinációját!</t>
        </is>
      </c>
    </row>
    <row r="722">
      <c r="A722" s="6" t="inlineStr">
        <is>
          <t xml:space="preserve">   Lakáskiegészítő / Akkumulátor</t>
        </is>
      </c>
      <c r="B722" s="6" t="inlineStr">
        <is>
          <t/>
        </is>
      </c>
      <c r="C722" s="6" t="inlineStr">
        <is>
          <t/>
        </is>
      </c>
      <c r="D722" s="6" t="inlineStr">
        <is>
          <t/>
        </is>
      </c>
      <c r="E722" s="6" t="inlineStr">
        <is>
          <t/>
        </is>
      </c>
      <c r="F722" s="6" t="inlineStr">
        <is>
          <t/>
        </is>
      </c>
      <c r="G722" s="6" t="inlineStr">
        <is>
          <t/>
        </is>
      </c>
    </row>
    <row r="723">
      <c r="A723" s="3" t="inlineStr">
        <is>
          <t>56706</t>
        </is>
      </c>
      <c r="B723" s="2" t="inlineStr">
        <is>
          <t>VARTA 56706 akkumulátor AA, NiMH akkumulátor, ceruza, 2100 mAh kapacitás, RTU - feltöltött és használatra kész, 4 db/csomag</t>
        </is>
      </c>
      <c r="C723" s="1" t="n">
        <v>1750.0</v>
      </c>
      <c r="D723" s="7" t="n">
        <f>HYPERLINK("https://www.somogyi.hu/product/varta-56706-akkumulator-aa-nimh-akkumulator-ceruza-2100-mah-kapacitas-rtu-feltoltott-es-hasznalatra-kesz-4-db-csomag-56706-17897","https://www.somogyi.hu/product/varta-56706-akkumulator-aa-nimh-akkumulator-ceruza-2100-mah-kapacitas-rtu-feltoltott-es-hasznalatra-kesz-4-db-csomag-56706-17897")</f>
        <v>0.0</v>
      </c>
      <c r="E723" s="7" t="n">
        <f>HYPERLINK("https://www.somogyi.hu/data/img/product_main_images/small/17897.jpg","https://www.somogyi.hu/data/img/product_main_images/small/17897.jpg")</f>
        <v>0.0</v>
      </c>
      <c r="F723" s="2" t="inlineStr">
        <is>
          <t>4008496550692</t>
        </is>
      </c>
      <c r="G723" s="4" t="inlineStr">
        <is>
          <t>Szüksége van egy megbízható és azonnal használható energiaforrásra, amely hosszú távon kiszolgálja eszközeit? A VARTA 56706 akkumulátor kiváló választás mindennapi készülékei számára. Ez a NiMH technológiájú ceruza (AA) méretű akkumulátor kiemelkedő, 2100 mAh kapacitásával biztosítja az eszközök tartós és megbízható működését. Az RTU - Ready To Use funkció azt jelenti, hogy az akkumulátor feltöltött állapotban érkezik, és azonnal használható, így időt takaríthat meg.
Kiváló teljesítmény minden helyzetben
A 2100 mAh kapacitás biztosítja, hogy az akkumulátor hosszabb üzemidőt nyújtson, így tökéletes választás olyan eszközökhöz, amelyek stabil és folyamatos energiaellátást igényelnek. Ideális választás többek között: – Távirányítókhoz – Játékokhoz – Fényképezőgépekhez – Zseblámpákhoz – Egyéb háztartási eszközökhöz
Környezetbarát és gazdaságos megoldás
Az újratölthető NiMH technológia révén az akkumulátor csökkenti az egyszer használatos elemek által termelt hulladékot, így környezetbarát megoldást kínál. Az újratölthetőség nemcsak fenntartható, hanem hosszú távon gazdaságosabb is, hiszen újra és újra használható, ezzel pénzt takarítva meg.
Feltöltött és azonnal használható
Az RTU - Ready To Use technológiának köszönhetően az akkumulátor feltöltött állapotban kerül forgalomba, így azonnal használatba vehető. Nem szükséges előzetes töltés, ami különösen kényelmessé teszi a mindennapi használatot. Ez a funkció ideális sürgős esetekben, amikor az energiaellátás azonnali megoldást igényel.
Praktikus kiszerelés
A 4 db-os bliszteres csomagolás lehetővé teszi, hogy egyszerre több eszközhöz biztosítson megbízható energiaforrást. A csomag gazdaságos választás azok számára, akik több akkumulátorra is szükséget tartanak otthonukban vagy munkahelyükön.
Miért érdemes a VARTA 56706 akkumulátort választani?
– Magas, 2100 mAh kapacitás a hosszú üzemidőért – Újratölthető NiMH technológia, amely környezetbarát és gazdaságos – RTU - Ready To Use technológia: feltöltött és azonnal használható – Ideális mindennapi és professzionális eszközökhöz is – Praktikus 4 db-os kiszerelés, amely több eszköz energiaellátását is megoldja
A VARTA 56706 akkumulátorral mindig biztos lehet abban, hogy készülékei optimális teljesítményt nyújtanak! Egy energiatakarékos, megbízható és környezetbarát megoldás, amely hosszú távon támogatja eszközeit.</t>
        </is>
      </c>
    </row>
    <row r="724">
      <c r="A724" s="3" t="inlineStr">
        <is>
          <t>RT 12120</t>
        </is>
      </c>
      <c r="B724" s="2" t="inlineStr">
        <is>
          <t>Ritar RT 12120 ólomakkumulátor, 12V/12 Ah, 5 éves élettartam, zárt konstrukció</t>
        </is>
      </c>
      <c r="C724" s="1" t="n">
        <v>23490.0</v>
      </c>
      <c r="D724" s="7" t="n">
        <f>HYPERLINK("https://www.somogyi.hu/product/ritar-rt-12120-olomakkumulator-12v-12-ah-5-eves-elettartam-zart-konstrukcio-rt-12120-8521","https://www.somogyi.hu/product/ritar-rt-12120-olomakkumulator-12v-12-ah-5-eves-elettartam-zart-konstrukcio-rt-12120-8521")</f>
        <v>0.0</v>
      </c>
      <c r="E724" s="7" t="n">
        <f>HYPERLINK("https://www.somogyi.hu/data/img/product_main_images/small/08521.jpg","https://www.somogyi.hu/data/img/product_main_images/small/08521.jpg")</f>
        <v>0.0</v>
      </c>
      <c r="F724" s="2" t="inlineStr">
        <is>
          <t>5998312774175</t>
        </is>
      </c>
      <c r="G724" s="4" t="inlineStr">
        <is>
          <t>Hogyan biztosíthatja eszközei zavartalan működését akár évekig tartó stabil energiaellátással? A Ritar RT 12120 ólomakkumulátor egy kiváló minőségű, 12 V/12 Ah kapacitású energiaforrás, amelyet kifejezetten megbízható teljesítményre terveztek. A zárt konstrukció és az akár 5 éves élettartam garanciát nyújt arra, hogy eszközei mindig biztonságosan működjenek. Számos felhasználási területre ideális, legyen szó riasztórendszerekről, szünetmentes áramforrásokról vagy akár elektromos gyerekjárművekről.
Tartós és biztonságos kialakítás
A Ritar RT 12120 ólomakkumulátor zárt szerkezete megakadályozza a szivárgást, és biztonságos használatot biztosít minden helyzetben. Az 5 éves élettartam hosszú távú megbízhatóságot nyújt, így nem kell aggódnia a gyakori cserék miatt. Ez különösen fontos olyan rendszerek esetében, ahol az állandó energiaellátás elengedhetetlen, például tűzvédelmi vagy orvosi eszközök esetében.
Széleskörű felhasználási lehetőségek
Ez az akkumulátor kiváló választás számos alkalmazási területhez: – Riasztórendszerek – Szünetmentes áramforrások (UPS) – Tűzvédelmi és biztonsági rendszerek – Orvosi műszerek – Elektromos gyerekjárművek
Az akkumulátor sokoldalúságának köszönhetően különféle eszközök energiaellátására használható, így egyetlen termékkel több feladatot is megoldhat.
Kompakt méret, egyszerű telepítés
Az akkumulátor kompakt kialakítása (151 x 98 x 95 mm) lehetővé teszi a könnyű elhelyezést még szűkebb helyeken is. Az egyszerű telepíthetőség és csatlakoztathatóság gyors beüzemelést tesz lehetővé, így azonnal használatba vehető.
Miért éri meg a Ritar RT 12120 ólomakkumulátor?
– Zárt szerkezet a biztonságos működés érdekében – Hosszú, akár 5 éves élettartam, amely garantálja a megbízhatóságot – Sokoldalúan felhasználható különféle rendszerekben és eszközökben – 12 V/12 Ah kapacitás a stabil energiaellátásért – Kompakt méret, amely megkönnyíti a telepítést
A Ritar RT 12120 ólomakkumulátor tökéletes választás minden olyan helyzetben, ahol fontos a tartós és biztonságos energiaellátás! Egy megbízható megoldás, amely hosszú éveken át gondoskodik eszközei működéséről.</t>
        </is>
      </c>
    </row>
    <row r="725">
      <c r="A725" s="3" t="inlineStr">
        <is>
          <t>56736</t>
        </is>
      </c>
      <c r="B725" s="2" t="inlineStr">
        <is>
          <t>VARTA 56736 akkumulátor AA, NiMH akkumulátor, ceruza, 800 mAh kapacitás, 2 db/csomag</t>
        </is>
      </c>
      <c r="C725" s="1" t="n">
        <v>1150.0</v>
      </c>
      <c r="D725" s="7" t="n">
        <f>HYPERLINK("https://www.somogyi.hu/product/varta-56736-akkumulator-aa-nimh-akkumulator-ceruza-800-mah-kapacitas-2-db-csomag-56736-17896","https://www.somogyi.hu/product/varta-56736-akkumulator-aa-nimh-akkumulator-ceruza-800-mah-kapacitas-2-db-csomag-56736-17896")</f>
        <v>0.0</v>
      </c>
      <c r="E725" s="7" t="n">
        <f>HYPERLINK("https://www.somogyi.hu/data/img/product_main_images/small/17896.jpg","https://www.somogyi.hu/data/img/product_main_images/small/17896.jpg")</f>
        <v>0.0</v>
      </c>
      <c r="F725" s="2" t="inlineStr">
        <is>
          <t>4008496658688</t>
        </is>
      </c>
      <c r="G725" s="4" t="inlineStr">
        <is>
          <t>Hogyan biztosíthatja szolár eszközei számára a hosszú távú és fenntartható energiaellátást? A VARTA 56736 NiMH akkumulátor tökéletes megoldást kínál minden olyan készülékhez, amely stabil és megbízható energiaforrást igényel. Ez a ceruza (AA) méretű akkumulátor 800 mAh kapacitásával ideális választás szolár termékekhez, zseblámpákhoz, és más kis energiaigényű eszközökhöz. Az újratölthető kialakításnak köszönhetően hosszú távon gazdaságos és környezetbarát megoldást nyújt.
Fenntartható és gazdaságos energiaforrás
Az NiMH technológia lehetővé teszi, hogy az akkumulátor többször újratölthető legyen, ezáltal jelentősen csökkenti az egyszer használatos elemek okozta környezeti terhelést. Hosszú távú használatra tervezték, így Ön pénzt takaríthat meg, miközben fenntarthatóbb életmódot folytathat.
Megbízható teljesítmény különböző eszközökhöz
Az 800 mAh kapacitás optimális teljesítményt nyújt olyan eszközök számára, amelyek folyamatos, de mérsékelt energiaellátást igényelnek. Kifejezetten ajánlott: – Szolár termékekhez – Zseblámpákhoz – Távirányítókhoz – Kis teljesítményű gyermekjátékokhoz – Kerti dekorációkhoz
A VARTA 56736 akkumulátor biztosítja, hogy készülékei zavartalanul és hosszabb ideig működjenek.
Praktikus kiszerelés
A 2 db-os bliszteres csomagolás lehetővé teszi, hogy egyszerre több eszközhöz biztosítson energiaforrást. Az ár egy darab akkumulátorra vonatkozik, így rugalmasan dönthet arról, hány darabot vásárol, eszközei igényeinek megfelelően.
Miért válassza a VARTA 56736 NiMH akkumulátort?
– 800 mAh kapacitás, amely hosszú üzemidőt biztosít – Újratölthető NiMH technológia a fenntartható és gazdaságos működés érdekében – Kifejezetten ajánlott szolár termékekhez, zseblámpákhoz és más kis energiaigényű eszközökhöz – 2 db-os bliszteres csomagolás a praktikus és kényelmes felhasználásért
A VARTA 56736 akkumulátor tökéletes választás, ha szolár eszközei számára fenntartható és megbízható energiaforrást keres! Egy környezetbarát és költséghatékony megoldás, amely hosszú távon szolgálja ki eszközei energiaigényét.</t>
        </is>
      </c>
    </row>
    <row r="726">
      <c r="A726" s="3" t="inlineStr">
        <is>
          <t>56733</t>
        </is>
      </c>
      <c r="B726" s="2" t="inlineStr">
        <is>
          <t>VARTA 56733 akkumulátor AAA, NiMH akkumulátor, mini ceruza, 550 mAh kapacitás, 2 db/csomag</t>
        </is>
      </c>
      <c r="C726" s="1" t="n">
        <v>1450.0</v>
      </c>
      <c r="D726" s="7" t="n">
        <f>HYPERLINK("https://www.somogyi.hu/product/varta-56733-akkumulator-aaa-nimh-akkumulator-mini-ceruza-550-mah-kapacitas-2-db-csomag-56733-17894","https://www.somogyi.hu/product/varta-56733-akkumulator-aaa-nimh-akkumulator-mini-ceruza-550-mah-kapacitas-2-db-csomag-56733-17894")</f>
        <v>0.0</v>
      </c>
      <c r="E726" s="7" t="n">
        <f>HYPERLINK("https://www.somogyi.hu/data/img/product_main_images/small/17894.jpg","https://www.somogyi.hu/data/img/product_main_images/small/17894.jpg")</f>
        <v>0.0</v>
      </c>
      <c r="F726" s="2" t="inlineStr">
        <is>
          <t>4008496808083</t>
        </is>
      </c>
      <c r="G726" s="4" t="inlineStr">
        <is>
          <t>Hogyan biztosíthatja szolár eszközei és más alacsony energiaigényű készülékei számára a stabil és fenntartható energiaellátást? A VARTA 56733 NiMH akkumulátor egy megbízható és gazdaságos megoldás, amelyet kifejezetten szolár termékekhez és kis fogyasztású eszközökhöz terveztek. Az AAA, mini ceruza méretű akkumulátor 550 mAh kapacitással rendelkezik, amely biztosítja az optimális energiaellátást. Az újratölthető kialakításnak köszönhetően környezetbarát megoldást kínál, miközben hosszú távon költséghatékony is.
Fenntartható energiaforrás szolár termékekhez
A NiMH technológia lehetővé teszi, hogy az akkumulátor többször újratölthető legyen, csökkentve az egyszer használatos elemek okozta hulladékot. Különösen ajánlott szolár termékekhez, mivel megbízhatóan tárolja az energiát, és hatékonyan használható alacsony energiafogyasztású eszközöknél.
Megbízható teljesítmény különböző alkalmazásokhoz
Az 550 mAh kapacitás stabil energiaellátást biztosít számos kis teljesítményű eszköz számára. Ideális például: – Szolár lámpákhoz és dekorációkhoz – Távirányítókhoz – Kis méretű gyermekjátékokhoz – Zseblámpákhoz – Egyéb alacsony energiaigényű elektronikus készülékekhez
Az akkumulátor garantálja, hogy készülékei mindig a megfelelő teljesítményt nyújtsák, így hosszabb üzemidőt biztosít.
Praktikus kiszerelés a kényelmes használatért
A 2 db-os bliszteres csomagolás különösen praktikus, ha egyszerre több eszközhöz keres energiaforrást. Az ár egy darab akkumulátorra vonatkozik, így rugalmasan dönthet arról, hogy hány darabot vásárol eszközei igényeinek megfelelően.
Miért érdemes a VARTA 56733 NiMH akkumulátort választani?
– 550 mAh kapacitás, amely optimális energiaellátást biztosít – Környezetbarát, újratölthető NiMH technológia – Ideális szolár termékekhez és alacsony energiaigényű eszközökhöz – 2 db-os bliszteres kiszerelés a kényelmes és praktikus használatért
A VARTA 56733 akkumulátor kiváló megoldást kínál, ha szolár termékeihez és kis fogyasztású eszközeihez fenntartható energiaforrást keres! 
Egy környezetbarát, megbízható és költséghatékony választás, amely hosszú távon szolgálja ki eszközei igényeit.</t>
        </is>
      </c>
    </row>
    <row r="727">
      <c r="A727" s="3" t="inlineStr">
        <is>
          <t>M 302AAA</t>
        </is>
      </c>
      <c r="B727" s="2" t="inlineStr">
        <is>
          <t>Home M 302AAA tölthető akkumulátor, NiMH, AAA, 300 mAh, 2 db</t>
        </is>
      </c>
      <c r="C727" s="1" t="n">
        <v>489.0</v>
      </c>
      <c r="D727" s="7" t="n">
        <f>HYPERLINK("https://www.somogyi.hu/product/home-m-302aaa-toltheto-akkumulator-nimh-aaa-300-mah-2-db-m-302aaa-17950","https://www.somogyi.hu/product/home-m-302aaa-toltheto-akkumulator-nimh-aaa-300-mah-2-db-m-302aaa-17950")</f>
        <v>0.0</v>
      </c>
      <c r="E727" s="7" t="n">
        <f>HYPERLINK("https://www.somogyi.hu/data/img/product_main_images/small/17950.jpg","https://www.somogyi.hu/data/img/product_main_images/small/17950.jpg")</f>
        <v>0.0</v>
      </c>
      <c r="F727" s="2" t="inlineStr">
        <is>
          <t>5999084959722</t>
        </is>
      </c>
      <c r="G727" s="4" t="inlineStr">
        <is>
          <t>Hogyan biztosíthatja eszközei számára a megbízható energiaellátást, miközben hozzájárul a környezettudatos működéshez? A Home M 302AAA tölthető akkumulátor egy praktikus és gazdaságos megoldás, amelyet kifejezetten mindennapi használatra terveztek. Az AAA, mini ceruza méretű akkumulátor 300 mAh kapacitással rendelkezik, amely kiválóan alkalmas alacsony energiaigényű eszközök számára. A NiMH technológiának köszönhetően az akkumulátor újratölthető, így hosszú távon nemcsak költséghatékony, hanem környezetbarát is.
Tartós teljesítmény alacsony energiafogyasztású eszközökhöz
A 300 mAh kapacitás és az 1,2 V-os feszültség stabil energiaellátást biztosít olyan készülékek számára, amelyek hosszabb üzemidőt igényelnek, de kevesebb energiát fogyasztanak. Ideális választás például: – Távirányítókhoz – Órákhoz – Zseblámpákhoz – Kis teljesítményű gyermekjátékokhoz
Az akkumulátorok egyenletes teljesítményt nyújtanak, amely biztosítja eszközei zavartalan működését.
Környezetbarát és gazdaságos megoldás
Az újratölthető NiMH technológia nemcsak csökkenti az egyszer használatos elemek mennyiségét, hanem hosszú távon pénzt is megtakarít. Az akkumulátorok többször újratölthetők, így hozzájárulnak a fenntarthatóbb jövőhöz, miközben kényelmes és praktikus energiaforrást biztosítanak.
Kompakt és kényelmes kiszerelés
A 2 db-os bliszteres csomagolás különösen praktikus, ha egyszerre több eszközt szeretne ellátni akkumulátorral. A kis méret és az egyszerű használhatóság lehetővé teszi, hogy mindig kéznél legyen a megfelelő energiaforrás, amikor szüksége van rá.
Miért érdemes a Home M 302AAA tölthető akkumulátort választani?
– 300 mAh kapacitás, amely stabil és hosszú távú energiaellátást biztosít – Újratölthető NiMH technológia a gazdaságos és környezetbarát működés érdekében – Kompakt mini ceruza (AAA) méret, amely széles körű felhasználást tesz lehetővé – 2 db-os bliszteres kiszerelés a praktikumért és az egyszerű tárolásért
A Home M 302AAA akkumulátor megbízható megoldást kínál, amely hosszú távon támogatja eszközei működését! Egy gazdaságos és fenntartható energiaforrás, amely otthonában és munkahelyén is ideális választás.</t>
        </is>
      </c>
    </row>
    <row r="728">
      <c r="A728" s="3" t="inlineStr">
        <is>
          <t>RT 645</t>
        </is>
      </c>
      <c r="B728" s="2" t="inlineStr">
        <is>
          <t>Ritar RT 645 ólomakkumulátor, 6V/4,5 Ah, 5 éves élettartam, zárt konstrukció</t>
        </is>
      </c>
      <c r="C728" s="1" t="n">
        <v>5490.0</v>
      </c>
      <c r="D728" s="7" t="n">
        <f>HYPERLINK("https://www.somogyi.hu/product/ritar-rt-645-olomakkumulator-6v-4-5-ah-5-eves-elettartam-zart-konstrukcio-rt-645-8515","https://www.somogyi.hu/product/ritar-rt-645-olomakkumulator-6v-4-5-ah-5-eves-elettartam-zart-konstrukcio-rt-645-8515")</f>
        <v>0.0</v>
      </c>
      <c r="E728" s="7" t="n">
        <f>HYPERLINK("https://www.somogyi.hu/data/img/product_main_images/small/08515.jpg","https://www.somogyi.hu/data/img/product_main_images/small/08515.jpg")</f>
        <v>0.0</v>
      </c>
      <c r="F728" s="2" t="inlineStr">
        <is>
          <t>5998312774120</t>
        </is>
      </c>
      <c r="G728" s="4" t="inlineStr">
        <is>
          <t>Hogyan biztosíthatja eszközei megbízható energiaellátását akár évekig, minimális karbantartási igénnyel? A Ritar RT 645 ólomakkumulátor egy kiváló választás, ha hosszú távon megbízható, stabil energiaforrásra van szüksége. A 6 V/4,5 Ah kapacitású akkumulátor zárt konstrukciója biztonságos és hatékony működést biztosít, miközben az akár 5 éves élettartam tartós megoldást kínál. Ideális számos alkalmazási területre, például riasztórendszerekhez, szünetmentes áramforrásokhoz, vagy akár elektromos gyerekjárművekhez.
Biztonságos és hosszú távú működés
A zárt szerkezetű kialakításnak köszönhetően az akkumulátor szivárgásmentes és biztonságosan használható. Az 5 éves élettartam gondoskodik arról, hogy hosszú időn át zavartalanul működjön, így tökéletes választás mindennapi és professzionális felhasználásra egyaránt. Ez a megbízhatóság különösen fontos olyan rendszerekben, ahol az állandó energiaellátás elengedhetetlen.
Széles körű felhasználási lehetőségek
A Ritar RT 645 ólomakkumulátor sokoldalúságának köszönhetően különböző eszközök energiaellátására is alkalmas: – Riasztórendszerek – Orvosi műszerek – Szünetmentes áramforrások (UPS) – Tűzvédelmi és biztonsági rendszerek – Elektromos gyerekjárművek
Ez a sokoldalúság garantálja, hogy egyetlen akkumulátorral többféle igényt is kiszolgálhat.
Kompakt méret, könnyű telepítés
Az akkumulátor mindössze 70 x 47 x 101 mm méretű, így kis helyigényű eszközökben is egyszerűen elhelyezhető. Kompakt kialakítása lehetővé teszi a gyors telepítést, miközben hatékonyan látja el feladatát.
Előnyök, amelyek kiemelik a Ritar RT 645 ólomakkumulátort
– Zárt konstrukció a biztonságos és szivárgásmentes működésért – 5 éves élettartam, amely hosszú távú megoldást biztosít – 6 V/4,5 Ah kapacitás, amely stabil energiaellátást nyújt – Sokoldalúan használható különböző rendszerekben és eszközökben – Kis méret a könnyű elhelyezés érdekében
Válassza a Ritar RT 645 ólomakkumulátort, és tapasztalja meg a tartós energiaellátás nyújtotta előnyöket! Egy megbízható megoldás, amely minden igényének megfelel, legyen szó otthoni vagy professzionális használatról.</t>
        </is>
      </c>
    </row>
    <row r="729">
      <c r="A729" s="3" t="inlineStr">
        <is>
          <t>5703</t>
        </is>
      </c>
      <c r="B729" s="2" t="inlineStr">
        <is>
          <t>VARTA 5703 akkumulátor AAA, NiMH akkumulátor, mini ceruza, 1000 mAh kapacitás, RTU - feltöltött és használatra kész, 4 db/csomag</t>
        </is>
      </c>
      <c r="C729" s="1" t="n">
        <v>2290.0</v>
      </c>
      <c r="D729" s="7" t="n">
        <f>HYPERLINK("https://www.somogyi.hu/product/varta-5703-akkumulator-aaa-nimh-akkumulator-mini-ceruza-1000-mah-kapacitas-rtu-feltoltott-es-hasznalatra-kesz-4-db-csomag-5703-17895","https://www.somogyi.hu/product/varta-5703-akkumulator-aaa-nimh-akkumulator-mini-ceruza-1000-mah-kapacitas-rtu-feltoltott-es-hasznalatra-kesz-4-db-csomag-5703-17895")</f>
        <v>0.0</v>
      </c>
      <c r="E729" s="7" t="n">
        <f>HYPERLINK("https://www.somogyi.hu/data/img/product_main_images/small/17895.jpg","https://www.somogyi.hu/data/img/product_main_images/small/17895.jpg")</f>
        <v>0.0</v>
      </c>
      <c r="F729" s="2" t="inlineStr">
        <is>
          <t>4008496594375</t>
        </is>
      </c>
      <c r="G729" s="4" t="inlineStr">
        <is>
          <t>Hogyan biztosíthatja eszközei számára a hosszú távú és megbízható energiaellátást azonnali használatra kész akkumulátorokkal? A VARTA 5703 NiMH akkumulátor ideális választás mindennapi eszközei számára, legyen szó távirányítókról, játékokról vagy egyéb háztartási készülékekről. Az AAA, mini ceruza méretű akkumulátor kiemelkedő, 1000 mAh kapacitással rendelkezik, amely stabil energiaellátást biztosít. Az RTU - Ready To Use technológia garantálja, hogy az akkumulátor feltöltött állapotban érkezik, és azonnal használható, ezáltal időt és kényelmet nyújt.
Tartós energiaforrás a mindennapokhoz
A 1000 mAh kapacitású akkumulátor biztosítja a hosszú üzemidőt, így kiváló választás az olyan eszközök számára, amelyek folyamatos és megbízható teljesítményt igényelnek: – Távirányítók – Gyermekjátékok – Konyhai eszközök – Zseblámpák – Egyéb elektronikus készülékek
Az akkumulátorok egyenletes teljesítménye hozzájárul eszközei zavartalan működéséhez.
Újratölthető és környezetbarát megoldás
A NiMH technológiának köszönhetően az akkumulátor újratölthető, ami nemcsak környezetbarát, de gazdaságos megoldást is kínál. A hosszú távú használat jelentősen csökkenti az egyszer használatos elemek szükségességét, így Ön pénzt takaríthat meg, miközben hozzájárul a fenntarthatósághoz.
Azonnal használatra kész
Az RTU - Ready To Use technológia biztosítja, hogy az akkumulátor előre feltöltött állapotban kerül forgalomba, így nincs szükség előzetes töltésre. Ez különösen kényelmes megoldás sürgős esetekben, amikor az energiaellátás azonnali megoldást kíván.
Praktikus kiszerelés a sokoldalú felhasználásért
A 4 db-os bliszteres csomagolás lehetővé teszi, hogy egyszerre több eszközhöz biztosítson energiaforrást. Ez a csomag különösen előnyös otthoni és irodai használatra, ahol több akkumulátorra is szükség lehet.
Miért érdemes a VARTA 5703 NiMH akkumulátort választani?
– 1000 mAh kapacitás a hosszú üzemidőért – Újratölthető NiMH technológia, amely környezetbarát és gazdaságos – RTU - Ready To Use: előre feltöltött és azonnal használható – Kompakt, mini ceruza (AAA) méret a sokoldalú alkalmazhatóságért – 4 db-os kiszerelés a praktikum és a gazdaságosság érdekében
A VARTA 5703 NiMH akkumulátor tökéletes megoldás azok számára, akik egyszerre keresnek megbízhatóságot, kényelmet és környezettudatosságot! Egy fenntartható energiaforrás, amely minden helyzetben támogatja eszközei zavartalan működését.</t>
        </is>
      </c>
    </row>
    <row r="730">
      <c r="A730" s="3" t="inlineStr">
        <is>
          <t>M 702AA</t>
        </is>
      </c>
      <c r="B730" s="2" t="inlineStr">
        <is>
          <t>Home M 702AA tölthető akkumulátor, NiMH, AA, 700 mAh, 2 db</t>
        </is>
      </c>
      <c r="C730" s="1" t="n">
        <v>869.0</v>
      </c>
      <c r="D730" s="7" t="n">
        <f>HYPERLINK("https://www.somogyi.hu/product/home-m-702aa-toltheto-akkumulator-nimh-aa-700-mah-2-db-m-702aa-17951","https://www.somogyi.hu/product/home-m-702aa-toltheto-akkumulator-nimh-aa-700-mah-2-db-m-702aa-17951")</f>
        <v>0.0</v>
      </c>
      <c r="E730" s="7" t="n">
        <f>HYPERLINK("https://www.somogyi.hu/data/img/product_main_images/small/17951.jpg","https://www.somogyi.hu/data/img/product_main_images/small/17951.jpg")</f>
        <v>0.0</v>
      </c>
      <c r="F730" s="2" t="inlineStr">
        <is>
          <t>5999084959739</t>
        </is>
      </c>
      <c r="G730" s="4" t="inlineStr">
        <is>
          <t>Hogyan gondoskodhat készülékei stabil energiaellátásáról, miközben csökkenti a környezeti terhelést? A Home M 702AA tölthető akkumulátor ideális választás mindennapi használatra, legyen szó távirányítókról, játékokról vagy más eszközökről. Az NiMH technológiának köszönhetően ezek az akkumulátorok újratölthetők, így hosszú távon gazdaságos és környezetbarát megoldást nyújtanak. A 1,2 V-os feszültség és 700 mAh kapacitás megbízható teljesítményt biztosít a hétköznapi használat során.
Környezetbarát és gazdaságos energiaforrás
Az NiMH akkumulátorok lehetővé teszik a többszöri újratöltést, ezáltal csökkentve az egyszer használatos elemek mennyiségét. Ez nemcsak a környezet számára előnyös, hanem pénzt is megtakarít, hiszen hosszú távon sokkal költséghatékonyabb megoldást jelent.
Tartós teljesítmény, sokoldalú felhasználás
Az 1,2 V feszültség és 700 mAh kapacitás révén az akkumulátorok alkalmasak különféle eszközök működtetésére, többek között: – Távirányítókhoz – Gyermekjátékokhoz – Konyhai mérlegekhez – Zseblámpákhoz – Egyéb alacsony energiafogyasztású készülékekhez
Az akkumulátorok egyenletes és megbízható energiaellátást biztosítanak, amely garantálja a készülékek zavartalan működését.
Kompakt kiszerelés a praktikumért
A 2 db-os bliszteres csomagolás lehetővé teszi, hogy egyszerre több eszközhöz biztosítson energiaforrást. Ez különösen előnyös, ha otthonában számos olyan készülék található, amely ceruza (AA) méretű akkumulátorral működik.
Miért válassza a Home M 702AA tölthető akkumulátort?
– Környezetbarát, újratölthető kialakítás, amely kevesebb hulladékot termel – 1,2 V feszültség és 700 mAh kapacitás a tartós teljesítményért – Széleskörű alkalmazhatóság mindennapi eszközökhöz – Praktikus 2 db-os kiszerelés, amely azonnali megoldást nyújt
A Home M 702AA akkumulátorral egyszerre biztosíthatja készülékei energiaellátását és tehet a környezetért! Egy hatékony, gazdaságos és fenntartható megoldás, amely minden háztartásban nélkülözhetetlen.</t>
        </is>
      </c>
    </row>
    <row r="731">
      <c r="A731" s="3" t="inlineStr">
        <is>
          <t>M 700AAA</t>
        </is>
      </c>
      <c r="B731" s="2" t="inlineStr">
        <is>
          <t>Home M 700AAA akkumulátor AAA, NiMH akkumulátor, mini ceruza, 1,2V 700 mAh kapacitás, 4 db/csomag</t>
        </is>
      </c>
      <c r="C731" s="1" t="n">
        <v>2890.0</v>
      </c>
      <c r="D731" s="7" t="n">
        <f>HYPERLINK("https://www.somogyi.hu/product/home-m-700aaa-akkumulator-aaa-nimh-akkumulator-mini-ceruza-1-2v-700-mah-kapacitas-4-db-csomag-m-700aaa-4675","https://www.somogyi.hu/product/home-m-700aaa-akkumulator-aaa-nimh-akkumulator-mini-ceruza-1-2v-700-mah-kapacitas-4-db-csomag-m-700aaa-4675")</f>
        <v>0.0</v>
      </c>
      <c r="E731" s="7" t="n">
        <f>HYPERLINK("https://www.somogyi.hu/data/img/product_main_images/small/04675.jpg","https://www.somogyi.hu/data/img/product_main_images/small/04675.jpg")</f>
        <v>0.0</v>
      </c>
      <c r="F731" s="2" t="inlineStr">
        <is>
          <t>5998312741269</t>
        </is>
      </c>
      <c r="G731" s="4" t="inlineStr">
        <is>
          <t>Hogyan biztosíthatja készülékei számára az állandó és megbízható energiaellátást, miközben óvja a környezetet is? A Home M 700AAA NiMH akkumulátor egy tartós és környezetbarát energiaforrás, amely mini ceruza (AAA)méretben kínál megoldást különféle eszközeihez. Az 1,2 V-os feszültséggel és 700 mAh kapacitással rendelkező akkumulátorok ideálisak a mindennapokban használt készülékek működtetéséhez, miközben hosszú távú használatot biztosítanak. A 4 db-os kiszerelés révén egy csomag azonnal több eszköz ellátását is megoldja.
Környezetbarát és gazdaságos energiaforrás
Az újratölthető NiMH technológia nemcsak környezetkímélő, hanem gazdaságos is, hiszen többszöri újratöltést tesz lehetővé. Ezáltal csökkentheti az egyszer használatos elemek mennyiségét, hozzájárulva a fenntarthatóbb életmódhoz és a kevesebb hulladék termeléséhez.
Kiváló teljesítmény a mindennapokban
Az 1,2 V-os feszültség és 700 mAh kapacitás ideális választás olyan eszközökhöz, mint: – Távirányítók – Órák – Játékok – Zseblámpák – Egyéb alacsony energiafogyasztású készülékek
Az akkumulátorok stabil és tartós energiaellátást biztosítanak, amely hosszú távon megbízható működést garantál.
Praktikus 4 db-os kiszerelés
A bliszteres csomagolás négy akkumulátort tartalmaz, így egy csomag több készülék energiaellátását is biztosítja. Ez különösen előnyös, ha otthonában egyszerre több eszközt használ AAA méretű elemekkel.
Miért érdemes a Home M 700AAA NiMH akkumulátort választani?
– Környezetbarát és gazdaságos újratölthető kialakítás – 1,2 V feszültség és 700 mAh kapacitás a stabil energiaellátásért – Ideális mindennapos használatra különböző eszközökhöz – Praktikus 4 db-os kiszerelés, amely hosszú távon gazdaságos megoldást kínál
Tegyen a fenntarthatóságért, miközben kiváló teljesítményt biztosít készülékei számára a Home M 700AAA akkumulátorral! Egy környezetbarát és megbízható energiaforrás, amely mindig az Ön rendelkezésére áll.</t>
        </is>
      </c>
    </row>
    <row r="732">
      <c r="A732" s="3" t="inlineStr">
        <is>
          <t>RT 1280</t>
        </is>
      </c>
      <c r="B732" s="2" t="inlineStr">
        <is>
          <t>Ritar RT 1280 ólomakkumulátor, 12V/8 Ah, 5 éves élettartam, zárt konstrukció</t>
        </is>
      </c>
      <c r="C732" s="1" t="n">
        <v>13790.0</v>
      </c>
      <c r="D732" s="7" t="n">
        <f>HYPERLINK("https://www.somogyi.hu/product/ritar-rt-1280-olomakkumulator-12v-8-ah-5-eves-elettartam-zart-konstrukcio-rt-1280-17597","https://www.somogyi.hu/product/ritar-rt-1280-olomakkumulator-12v-8-ah-5-eves-elettartam-zart-konstrukcio-rt-1280-17597")</f>
        <v>0.0</v>
      </c>
      <c r="E732" s="7" t="n">
        <f>HYPERLINK("https://www.somogyi.hu/data/img/product_main_images/small/17597.jpg","https://www.somogyi.hu/data/img/product_main_images/small/17597.jpg")</f>
        <v>0.0</v>
      </c>
      <c r="F732" s="2" t="inlineStr">
        <is>
          <t>5999084956196</t>
        </is>
      </c>
      <c r="G732" s="4" t="inlineStr">
        <is>
          <t>Hogyan biztosíthatja riasztórendszerei, szünetmentes áramforrásai vagy egyéb eszközei megbízható energiaellátását? A Ritar RT 1280 ólomakkumulátor egy kiváló minőségű, 12 V/8 Ah kapacitású zárt konstrukciójú akkumulátor, amely hosszú távon biztosítja a megbízható és biztonságos működést. Speciális kialakítása révén ideális választás különféle alkalmazási területekre, legyen szó riasztórendszerekről, orvosi műszerekről vagy akár elektromos gyerekjárművekről.
Hosszú élettartam és megbízható működés
A Ritar RT 1280 ólomakkumulátor akár 5 éves élettartamot is biztosít, így hosszú távon számíthat rá. A zárt konstrukció garantálja a biztonságos működést, megakadályozva a szivárgást vagy egyéb problémákat. Ez a kialakítás különösen fontos olyan rendszerek esetében, ahol a zavartalan működés elengedhetetlen, például tűzvédelmi és biztonsági rendszerekben.
Sokoldalú felhasználási lehetőségek
Az akkumulátor sokoldalú kialakítása lehetővé teszi, hogy számos területen használható legyen: – Riasztórendszerek – Orvosi műszerek – Szünetmentes áramforrások (UPS) – Tűzvédelmi és biztonsági rendszerek – Elektromos gyerekjárművek
Ez a széles körű alkalmazhatóság biztosítja, hogy különböző környezetekben és eszközökben is megállja a helyét.
Kompakt méret, egyszerű telepítés
Az akkumulátor mindössze 151 x 65 x 100 mm méretű, így könnyen telepíthető szűkebb helyekre is. Kompakt kialakítása révén nemcsak praktikus, hanem helytakarékos megoldást is nyújt. Az egyszerű csatlakoztathatóság gyors és problémamentes telepítést biztosít.
Miért hasznos Önnek a Ritar RT 1280 ólomakkumulátor?
– Zárt konstrukció a biztonságos és megbízható működés érdekében – 5 éves élettartam, amely hosszú távú megoldást kínál – Sokoldalú felhasználás különböző rendszerekben és eszközökben – 12 V/8 Ah kapacitás a stabil energiaellátásért – Kompakt méret a könnyű telepítéshez és tároláshoz
Válassza a Ritar RT 1280 ólomakkumulátort, és biztosítsa eszközei zavartalan működését hosszú éveken át!</t>
        </is>
      </c>
    </row>
    <row r="733">
      <c r="A733" s="3" t="inlineStr">
        <is>
          <t>RT 1245E</t>
        </is>
      </c>
      <c r="B733" s="2" t="inlineStr">
        <is>
          <t>Ritar RT 1245E ólomakkumulátor, 12V/4,5 Ah, 5 éves élettartam, zárt konstrukció</t>
        </is>
      </c>
      <c r="C733" s="1" t="n">
        <v>9590.0</v>
      </c>
      <c r="D733" s="7" t="n">
        <f>HYPERLINK("https://www.somogyi.hu/product/ritar-rt-1245e-olomakkumulator-12v-4-5-ah-5-eves-elettartam-zart-konstrukcio-rt-1245e-8519","https://www.somogyi.hu/product/ritar-rt-1245e-olomakkumulator-12v-4-5-ah-5-eves-elettartam-zart-konstrukcio-rt-1245e-8519")</f>
        <v>0.0</v>
      </c>
      <c r="E733" s="7" t="n">
        <f>HYPERLINK("https://www.somogyi.hu/data/img/product_main_images/small/08519.jpg","https://www.somogyi.hu/data/img/product_main_images/small/08519.jpg")</f>
        <v>0.0</v>
      </c>
      <c r="F733" s="2" t="inlineStr">
        <is>
          <t>5998312774151</t>
        </is>
      </c>
      <c r="G733" s="4" t="inlineStr">
        <is>
          <t>Hogyan biztosíthatja eszközei megbízható és hosszú távú energiaellátását, miközben minimalizálja a karbantartási igényeket? A Ritar RT 1245E ólomakkumulátor kiváló választás minden olyan helyzetben, ahol stabil és tartós energiaforrásra van szükség. Ez a 12 V/4,5 Ah kapacitású akkumulátor zárt konstrukciójának köszönhetően biztonságos és hatékony működést biztosít, akár 5 éves élettartammal. Ideális megoldás széleskörű alkalmazási területekre, például riasztórendszerek, szünetmentes áramforrások, vagy elektromos gyerekjárművek energiaellátására.
Biztonságos és hosszú élettartamú kialakítás
A zárt szerkezetű akkumulátor szivárgásmentes működést garantál, így nemcsak biztonságos, hanem karbantartásmentes is. Az akár 5 éves élettartam gondoskodik arról, hogy Ön hosszú távon számíthasson erre a megbízható energiaforrásra. Ez különösen fontos olyan rendszerek esetében, amelyek folyamatos működést igényelnek, mint például a tűzvédelmi és biztonsági rendszerek.
Széles körű alkalmazási lehetőségek
A Ritar RT 1245E ólomakkumulátor ideális különböző eszközök és rendszerek energiaellátására: – Riasztórendszerek – Orvosi műszerek – Szünetmentes áramforrások (UPS) – Tűzvédelmi és biztonsági rendszerek – Elektromos gyerekjárművek
Ez a sokoldalúság garantálja, hogy egyetlen akkumulátor számos különféle igényt kielégíthessen, mind otthoni, mind professzionális környezetben.
Kompakt és könnyen telepíthető
Az akkumulátor kompakt mérete (90 x 70 x 101 mm) megkönnyíti az elhelyezést szűkebb helyeken is, miközben biztosítja a megbízható energiaellátást. Az egyszerű telepítés révén gyorsan és problémamentesen használatba vehető, így időt takarít meg.
Miért jó döntés a Ritar RT 1245E ólomakkumulátor?
– Zárt konstrukció a szivárgásmentes és biztonságos működésért – Hosszú, akár 5 éves élettartam, amely minimalizálja a cserék gyakoriságát – 12 V/4,5 Ah kapacitás, amely stabil energiaellátást biztosít – Széles körű felhasználási lehetőségek riasztórendszerektől az elektromos gyerekjárművekig – Kompakt kialakítás, amely egyszerű telepítést tesz lehetővé
A Ritar RT 1245E ólomakkumulátor megbízható megoldást nyújt minden olyan helyzetben, ahol a tartós és stabil energiaellátás elengedhetetlen! Egy energiaforrás, amely hosszú éveken át szolgálja eszközei zavartalan működését.</t>
        </is>
      </c>
    </row>
    <row r="734">
      <c r="A734" s="6" t="inlineStr">
        <is>
          <t xml:space="preserve">   Lakáskiegészítő / Elem</t>
        </is>
      </c>
      <c r="B734" s="6" t="inlineStr">
        <is>
          <t/>
        </is>
      </c>
      <c r="C734" s="6" t="inlineStr">
        <is>
          <t/>
        </is>
      </c>
      <c r="D734" s="6" t="inlineStr">
        <is>
          <t/>
        </is>
      </c>
      <c r="E734" s="6" t="inlineStr">
        <is>
          <t/>
        </is>
      </c>
      <c r="F734" s="6" t="inlineStr">
        <is>
          <t/>
        </is>
      </c>
      <c r="G734" s="6" t="inlineStr">
        <is>
          <t/>
        </is>
      </c>
    </row>
    <row r="735">
      <c r="A735" s="3" t="inlineStr">
        <is>
          <t>Maxell LR6 4+2</t>
        </is>
      </c>
      <c r="B735" s="2" t="inlineStr">
        <is>
          <t>Maxell LR6 4+2 AA elem, alkáli, ceruza, 1,5V, 6 db/csomag</t>
        </is>
      </c>
      <c r="C735" s="1" t="n">
        <v>1150.0</v>
      </c>
      <c r="D735" s="7" t="n">
        <f>HYPERLINK("https://www.somogyi.hu/product/maxell-lr6-4-2-aa-elem-alkali-ceruza-1-5v-6-db-csomag-maxell-lr6-4-2-16360","https://www.somogyi.hu/product/maxell-lr6-4-2-aa-elem-alkali-ceruza-1-5v-6-db-csomag-maxell-lr6-4-2-16360")</f>
        <v>0.0</v>
      </c>
      <c r="E735" s="7" t="n">
        <f>HYPERLINK("https://www.somogyi.hu/data/img/product_main_images/small/16360.jpg","https://www.somogyi.hu/data/img/product_main_images/small/16360.jpg")</f>
        <v>0.0</v>
      </c>
      <c r="F735" s="2" t="inlineStr">
        <is>
          <t>4902580163846</t>
        </is>
      </c>
      <c r="G735" s="4" t="inlineStr">
        <is>
          <t>Hogyan biztosíthatja eszközei számára a hosszan tartó energiaellátást egy gazdaságos csomagban?
A Maxell LR6 4+2 AA alkáli elemcsomag ideális választás mindennapos használatra, ha stabil és tartós energiaforrásra van szüksége. Az 1,5 V-os alkáli technológiával működő ceruza (AA) elemek hosszú élettartamot és megbízható teljesítményt nyújtanak, miközben a 6 db-os bliszteres kiszerelés gazdaságos megoldást kínál, amely egyszerre praktikus és költséghatékony.
Tartós energia különböző alkalmazásokhoz
A Maxell LR6 AA elemeket úgy tervezték, hogy különböző eszközökben is kiemelkedően teljesítsenek. Alkalmazási területek:
– Távirányítók
– Játékok
– Elemlámpák
– Fényképezőgépek
– Konyhai mérőeszközök
Az 1,5 V-os feszültség stabil energiaellátást biztosít még nagyobb igénybevétel esetén is, így eszközei zavartalanul működhetnek.
Hosszú élettartam az alkáli technológiának köszönhetően
Az alkáli technológia garantálja az elemek hosszú üzemidejét, amely minimálisra csökkenti a cserék gyakoriságát. Ez a megoldás különösen előnyös olyan eszközök esetében, amelyeket rendszeresen használ, és folyamatos teljesítményre van szüksége.
Gazdaságos 4+2-es kiszerelés
A 6 db-os bliszteres csomagolás különleges előnyt kínál: a 4+2-es bónusz kiszerelés révén két extra elemet kap az alapcsomagban. Ez nemcsak költséghatékony megoldás, hanem kényelmes választás is, hiszen egyszerre több eszköz energiaellátását biztosíthatja, miközben spórol.
Miért válassza a Maxell LR6 4+2 AA alkáli elemeket?
– Hosszú élettartam és megbízható teljesítmény az alkáli technológiának köszönhetően
– 1,5 V feszültség, amely folyamatos energiaellátást biztosít
– Ceruza (AA) méret, amely számos eszközzel kompatibilis
– Gazdaságos, 6 db-os kiszerelés, amely 4+2 bónusz elemet tartalmaz
A Maxell LR6 4+2 AA elemekkel minden eszköze folyamatosan működhet!
Egy megbízható, gazdaságos és praktikus megoldás, amely hosszú távon támogatja mindennapi energiaigényét.</t>
        </is>
      </c>
    </row>
    <row r="736">
      <c r="A736" s="3" t="inlineStr">
        <is>
          <t>Maxell CR1616</t>
        </is>
      </c>
      <c r="B736" s="2" t="inlineStr">
        <is>
          <t>Maxell CR1616 gombelem, lítium, 3V, 5 db/csomag</t>
        </is>
      </c>
      <c r="C736" s="1" t="n">
        <v>569.0</v>
      </c>
      <c r="D736" s="7" t="n">
        <f>HYPERLINK("https://www.somogyi.hu/product/maxell-cr1616-gombelem-litium-3v-5-db-csomag-maxell-cr1616-17898","https://www.somogyi.hu/product/maxell-cr1616-gombelem-litium-3v-5-db-csomag-maxell-cr1616-17898")</f>
        <v>0.0</v>
      </c>
      <c r="E736" s="7" t="n">
        <f>HYPERLINK("https://www.somogyi.hu/data/img/product_main_images/small/17898.jpg","https://www.somogyi.hu/data/img/product_main_images/small/17898.jpg")</f>
        <v>0.0</v>
      </c>
      <c r="F736" s="2" t="inlineStr">
        <is>
          <t>4902580776435</t>
        </is>
      </c>
      <c r="G736" s="4" t="inlineStr">
        <is>
          <t>Hosszú élettartamú, megbízható energiaforrást keres kisebb eszközeihez?
A Maxell CR1616 lítium gombelem ideális választás különféle elektronikus eszközök, például távirányítók, órák, számológépek és egyéb kisfogyasztású készülékek számára. A lítium technológia biztosítja a hosszan tartó, stabil működést, miközben a 3 V-os feszültség kiváló teljesítményt nyújt a legfontosabb eszközei számára. A csomag 5 db gombelemet tartalmaz bliszteres kivitelben, amely megkönnyíti a tárolást és a biztonságos használatot.
Lítium technológia a hosszú élettartamért
A Maxell CR1616 elem lítium alapú, amelynek köszönhetően kiemelkedően hosszú élettartamot és megbízható teljesítményt nyújt. Ez különösen fontos olyan eszközök esetében, amelyek folyamatos, alacsony fogyasztású energiaellátást igényelnek. A lítium technológia nemcsak hosszabb üzemidőt garantál, hanem ellenáll a szélsőséges hőmérsékleti viszonyoknak is, így széles körű felhasználási lehetőséget kínál.
Kompakt méret és 3 V-os feszültség
A CR1616 típusú gombelem kompakt méretével és 3 V-os feszültségével tökéletesen illeszkedik számos kisebb elektronikus eszközbe. A pontos méretezés és a kiváló minőség biztosítja, hogy az elem stabilan helyezkedjen el az eszközökben, minimalizálva a kontakthibák és a megszakított energiaellátás kockázatát.
Praktikus, 5 db-os bliszteres csomagolás
A csomag 5 db CR1616 gombelemet tartalmaz, amely ideális megoldás, ha több eszközt szeretne egyszerre ellátni friss energiával, vagy ha szeretne tartalék elemeket kéznél tartani. A bliszteres csomagolás védi az elemeket a sérülésektől és a nedvességtől, biztosítva, hogy hosszabb tárolás után is kifogástalan állapotban maradjanak.
Miért válassza a Maxell CR1616 lítium gombelemet?
– Hosszú élettartamú lítium technológia, amely tartós energiaellátást biztosít 
– Kompakt méret és 3 V-os feszültség, amely számos eszközzel kompatibilis 
– 5 db-os bliszteres csomagolás a biztonságos tárolásért és könnyű kezelhetőségért 
– Kiváló teljesítmény szélsőséges hőmérsékleti viszonyok között is 
– Ideális választás órákhoz, távirányítókhoz, számológépekhez és egyéb kisebb eszközökhöz
Válassza a Maxell CR1616 lítium gombelemet, ha megbízható és hosszú élettartamú energiaforrást keres. Tartsa eszközeit mindig működésben a prémium minőségű Maxell elemek segítségével!</t>
        </is>
      </c>
    </row>
    <row r="737">
      <c r="A737" s="3" t="inlineStr">
        <is>
          <t>Maxell CR2025</t>
        </is>
      </c>
      <c r="B737" s="2" t="inlineStr">
        <is>
          <t>Maxell CR2025 gombelem, lítium, 3V, 5 db/csomag</t>
        </is>
      </c>
      <c r="C737" s="1" t="n">
        <v>349.0</v>
      </c>
      <c r="D737" s="7" t="n">
        <f>HYPERLINK("https://www.somogyi.hu/product/maxell-cr2025-gombelem-litium-3v-5-db-csomag-maxell-cr2025-16364","https://www.somogyi.hu/product/maxell-cr2025-gombelem-litium-3v-5-db-csomag-maxell-cr2025-16364")</f>
        <v>0.0</v>
      </c>
      <c r="E737" s="7" t="n">
        <f>HYPERLINK("https://www.somogyi.hu/data/img/product_main_images/small/16364.jpg","https://www.somogyi.hu/data/img/product_main_images/small/16364.jpg")</f>
        <v>0.0</v>
      </c>
      <c r="F737" s="2" t="inlineStr">
        <is>
          <t>4902580131265</t>
        </is>
      </c>
      <c r="G737" s="4" t="inlineStr">
        <is>
          <t>A MAXELL CR2025 Lítium gombelem számos termék tápellátását biztosíthatja, amely CR 2025 típusú gomb elemmel üzemeltethető. 
Az elem teljesítménye 3 V. Mérete: gombelem (CR2025).
A bliszter 5 db elemet tartalmaz.</t>
        </is>
      </c>
    </row>
    <row r="738">
      <c r="A738" s="3" t="inlineStr">
        <is>
          <t>Maxell LR1</t>
        </is>
      </c>
      <c r="B738" s="2" t="inlineStr">
        <is>
          <t>Maxell LR1 elem, alkáli, LR1, 1,5V, 5 db/csomag</t>
        </is>
      </c>
      <c r="C738" s="1" t="n">
        <v>509.0</v>
      </c>
      <c r="D738" s="7" t="n">
        <f>HYPERLINK("https://www.somogyi.hu/product/maxell-lr1-elem-alkali-lr1-1-5v-5-db-csomag-maxell-lr1-16399","https://www.somogyi.hu/product/maxell-lr1-elem-alkali-lr1-1-5v-5-db-csomag-maxell-lr1-16399")</f>
        <v>0.0</v>
      </c>
      <c r="E738" s="7" t="n">
        <f>HYPERLINK("https://www.somogyi.hu/data/img/product_main_images/small/16399.jpg","https://www.somogyi.hu/data/img/product_main_images/small/16399.jpg")</f>
        <v>0.0</v>
      </c>
      <c r="F738" s="2" t="inlineStr">
        <is>
          <t>4902580150266</t>
        </is>
      </c>
      <c r="G738" s="4" t="inlineStr">
        <is>
          <t>A MAXELL LR1 Alkáli elem számos termék tápellátását biztosíthatja, amely LR 1 típusú elemmel funkcionál. Használja akár gyermekjátékok, elemlámpák üzemeltetéséhez. 
Az elem teljesítménye 1,5 V. Mérete: LR 1.</t>
        </is>
      </c>
    </row>
    <row r="739">
      <c r="A739" s="3" t="inlineStr">
        <is>
          <t>Maxell LR14</t>
        </is>
      </c>
      <c r="B739" s="2" t="inlineStr">
        <is>
          <t>Maxell LR14 C elem, alkáli, baby, 1,5V, 2 db/csomag</t>
        </is>
      </c>
      <c r="C739" s="1" t="n">
        <v>1350.0</v>
      </c>
      <c r="D739" s="7" t="n">
        <f>HYPERLINK("https://www.somogyi.hu/product/maxell-lr14-c-elem-alkali-baby-1-5v-2-db-csomag-maxell-lr14-16358","https://www.somogyi.hu/product/maxell-lr14-c-elem-alkali-baby-1-5v-2-db-csomag-maxell-lr14-16358")</f>
        <v>0.0</v>
      </c>
      <c r="E739" s="7" t="n">
        <f>HYPERLINK("https://www.somogyi.hu/data/img/product_main_images/small/16358.jpg","https://www.somogyi.hu/data/img/product_main_images/small/16358.jpg")</f>
        <v>0.0</v>
      </c>
      <c r="F739" s="2" t="inlineStr">
        <is>
          <t>4902580162184</t>
        </is>
      </c>
      <c r="G739" s="4" t="inlineStr">
        <is>
          <t>A MAXELL LR14 Alkáli elem számos termék tápellátását biztosíthatja, amely Baby (C) típusú elemmel funkcionál. Használja akár gyermekjátékok, elemlámpák üzemeltetéséhez. 
Az elem teljesítménye 1,5 V. Mérete: Baby (C). 
A bliszter 2 db elemet tartalmaz.</t>
        </is>
      </c>
    </row>
    <row r="740">
      <c r="A740" s="3" t="inlineStr">
        <is>
          <t>Maxell LR44</t>
        </is>
      </c>
      <c r="B740" s="2" t="inlineStr">
        <is>
          <t>Maxell LR44 gombelem, alkáli, LR44, 1,5V, 10 db/csomag</t>
        </is>
      </c>
      <c r="C740" s="1" t="n">
        <v>169.0</v>
      </c>
      <c r="D740" s="7" t="n">
        <f>HYPERLINK("https://www.somogyi.hu/product/maxell-lr44-gombelem-alkali-lr44-1-5v-10-db-csomag-maxell-lr44-16371","https://www.somogyi.hu/product/maxell-lr44-gombelem-alkali-lr44-1-5v-10-db-csomag-maxell-lr44-16371")</f>
        <v>0.0</v>
      </c>
      <c r="E740" s="7" t="n">
        <f>HYPERLINK("https://www.somogyi.hu/data/img/product_main_images/small/16371.jpg","https://www.somogyi.hu/data/img/product_main_images/small/16371.jpg")</f>
        <v>0.0</v>
      </c>
      <c r="F740" s="2" t="inlineStr">
        <is>
          <t>4902580131401</t>
        </is>
      </c>
      <c r="G740" s="4" t="inlineStr">
        <is>
          <t>Hogyan biztosíthatja apró eszközei számára a hosszú élettartamú és megbízható energiaellátást?
A Maxell LR44 alkáli gombelem ideális választás mindennapos használatú kis méretű eszközökhöz. Az 1,5 V-os feszültséggel rendelkező gombelemek stabil és tartós teljesítményt biztosítanak, amely megbízható működést garantál különféle készülékekben. A 10 db-os bliszteres kiszerelés praktikus és gazdaságos megoldást kínál, amely tökéletes választás otthoni és professzionális felhasználásra egyaránt.
Megbízható energia kis méretű eszközökhöz
Az LR44 alkáli gombelemek kifejezetten olyan eszközök energiaellátására lettek tervezve, amelyek precíz és tartós teljesítményt igényelnek. Ajánlott:
– Karórákhoz
– Számológépekhez
– Távirányítókhoz
– Orvosi eszközökhöz
– Gyermekjátékokhoz
Az 1,5 V-os feszültség garantálja, hogy eszközei mindig megbízhatóan működjenek, akár folyamatos használat mellett is.
Kompakt méret és sokoldalú felhasználhatóság
A Maxell LR44 gombelemek kis méretük ellenére kimagasló teljesítményt nyújtanak. Kompakt kialakításuk lehetővé teszi, hogy számos apró készülékben helytakarékosan használhatók legyenek, miközben hosszú üzemidőt biztosítanak.
Gazdaságos és praktikus kiszerelés
A 10 db-os bliszteres csomagolás lehetővé teszi, hogy egyszerre több eszközhöz is elegendő energiaforrást biztosítson. Az átlátható csomagolás segíti a könnyű tárolást és gyors hozzáférést, így elemei mindig készen állnak a használatra.
Miért válassza a Maxell LR44 gombelemeket?
– Stabil és tartós energiaellátás az alkáli technológiának köszönhetően
– 1,5 V feszültség, amely megbízható teljesítményt nyújt
– Kompakt kialakítás, amely ideális kis méretű eszközökhöz
– Gazdaságos 10 db-os kiszerelés, amely hosszú távú megoldást kínál
– Praktikus bliszteres csomagolás a könnyű tárolásért
A Maxell LR44 gombelem tökéletes választás, ha fontos a megbízhatóság és a hosszú élettartam!
Egy gazdaságos és praktikus megoldás, amely garantálja eszközei zavartalan működését.</t>
        </is>
      </c>
    </row>
    <row r="741">
      <c r="A741" s="3" t="inlineStr">
        <is>
          <t>Maxell LR03</t>
        </is>
      </c>
      <c r="B741" s="2" t="inlineStr">
        <is>
          <t>Maxell LR03 AAA elem, alkáli, mini ceruza, 1,5V, 4 db/csomag</t>
        </is>
      </c>
      <c r="C741" s="1" t="n">
        <v>749.0</v>
      </c>
      <c r="D741" s="7" t="n">
        <f>HYPERLINK("https://www.somogyi.hu/product/maxell-lr03-aaa-elem-alkali-mini-ceruza-1-5v-4-db-csomag-maxell-lr03-16361","https://www.somogyi.hu/product/maxell-lr03-aaa-elem-alkali-mini-ceruza-1-5v-4-db-csomag-maxell-lr03-16361")</f>
        <v>0.0</v>
      </c>
      <c r="E741" s="7" t="n">
        <f>HYPERLINK("https://www.somogyi.hu/data/img/product_main_images/small/16361.jpg","https://www.somogyi.hu/data/img/product_main_images/small/16361.jpg")</f>
        <v>0.0</v>
      </c>
      <c r="F741" s="2" t="inlineStr">
        <is>
          <t>4902580164010</t>
        </is>
      </c>
      <c r="G741" s="4" t="inlineStr">
        <is>
          <t>Hogyan biztosíthatja kis méretű eszközei számára a hosszú távú és megbízható energiaellátást?
A Maxell LR03 AAA alkáli elem tökéletes választás mindennapi használatra, legyen szó távirányítókról, játékokról vagy más alacsony energiaigényű eszközökről. Az 1,5 V-os alkáli technológia stabil és tartós teljesítményt biztosít, miközben a mini ceruza (AAA) méret garantálja a széleskörű felhasználhatóságot. A 4 db-os bliszteres kiszerelés praktikus és gazdaságos megoldást kínál, amely hosszú távon is kényelmesen kiszolgálja igényeit.
Tartós teljesítmény különféle eszközökhöz
A Maxell LR03 alkáli elemeket úgy tervezték, hogy hosszú élettartamú és megbízható energiaforrást biztosítsanak. Ideális választás az alábbi eszközökhöz:
– Távirányítók
– Fényképezőgépek
– Játékok
– Konyhai eszközök
– Zseblámpák
Az 1,5 V-os feszültség gondoskodik arról, hogy az eszközök mindig stabilan és zavartalanul működjenek, még hosszan tartó használat esetén is.
Alkáli technológia a hosszan tartó megbízhatóságért
Az alkáli elemek magas energiasűrűséget biztosítanak, amely hosszabb üzemidőt eredményez. Ez a technológia ellenáll a nagyobb igénybevételnek is, így tökéletes választás mind otthoni, mind professzionális felhasználásra.
Praktikus és gazdaságos kiszerelés
A 4 db-os bliszteres csomagolás átlátható és könnyen tárolható, így elemei mindig kéznél lesznek, amikor szükség van rájuk. Ez a gazdaságos kiszerelés biztosítja, hogy egyszerre több eszköz energiaellátását is megoldhassa, miközben időt és pénzt takarít meg.
Miért érdemes a Maxell LR03 AAA alkáli elemet választani?
– Hosszú élettartam a tartós alkáli technológiának köszönhetően
– 1,5 V feszültség, amely megbízható energiaellátást biztosít
– Mini ceruza (AAA) méret, amely széles körű alkalmazhatóságot tesz lehetővé
– Gazdaságos, 4 db-os kiszerelés, amely hosszú távú megoldást kínál
A Maxell LR03 AAA alkáli elemekkel biztosíthatja eszközei zavartalan működését minden helyzetben!
Egy megbízható, gazdaságos és praktikus választás, amely hosszú távon támogatja energiaigényeit.</t>
        </is>
      </c>
    </row>
    <row r="742">
      <c r="A742" s="3" t="inlineStr">
        <is>
          <t>Maxell R20</t>
        </is>
      </c>
      <c r="B742" s="2" t="inlineStr">
        <is>
          <t>Maxell R20 D elem,  féltartós, góliát, 1,5V, 2 db/csomag</t>
        </is>
      </c>
      <c r="C742" s="1" t="n">
        <v>749.0</v>
      </c>
      <c r="D742" s="7" t="n">
        <f>HYPERLINK("https://www.somogyi.hu/product/maxell-r20-d-elem-feltartos-goliat-1-5v-2-db-csomag-maxell-r20-16351","https://www.somogyi.hu/product/maxell-r20-d-elem-feltartos-goliat-1-5v-2-db-csomag-maxell-r20-16351")</f>
        <v>0.0</v>
      </c>
      <c r="E742" s="7" t="n">
        <f>HYPERLINK("https://www.somogyi.hu/data/img/product_main_images/small/16351.jpg","https://www.somogyi.hu/data/img/product_main_images/small/16351.jpg")</f>
        <v>0.0</v>
      </c>
      <c r="F742" s="2" t="inlineStr">
        <is>
          <t>4902580151171</t>
        </is>
      </c>
      <c r="G742" s="4" t="inlineStr">
        <is>
          <t>A MAXELL R20 Féltartós elem számos termék tápellátását biztosíthatja, amely Góliát (D) típusú elemmel funkcionál. Használja akár gyermekjátékok, elemlámpák üzemeltetéséhez. 
Az elem teljesítménye 1,5 V. Mérete: Góliát (D). 
A csomag 2 db elemet tartalmaz.</t>
        </is>
      </c>
    </row>
    <row r="743">
      <c r="A743" s="3" t="inlineStr">
        <is>
          <t>Maxell R14</t>
        </is>
      </c>
      <c r="B743" s="2" t="inlineStr">
        <is>
          <t>Maxell R14 C elem, féltartós, baby, 1,5V, 2 db/csomag</t>
        </is>
      </c>
      <c r="C743" s="1" t="n">
        <v>569.0</v>
      </c>
      <c r="D743" s="7" t="n">
        <f>HYPERLINK("https://www.somogyi.hu/product/maxell-r14-c-elem-feltartos-baby-1-5v-2-db-csomag-maxell-r14-16352","https://www.somogyi.hu/product/maxell-r14-c-elem-feltartos-baby-1-5v-2-db-csomag-maxell-r14-16352")</f>
        <v>0.0</v>
      </c>
      <c r="E743" s="7" t="n">
        <f>HYPERLINK("https://www.somogyi.hu/data/img/product_main_images/small/16352.jpg","https://www.somogyi.hu/data/img/product_main_images/small/16352.jpg")</f>
        <v>0.0</v>
      </c>
      <c r="F743" s="2" t="inlineStr">
        <is>
          <t>4902580152185</t>
        </is>
      </c>
      <c r="G743" s="4" t="inlineStr">
        <is>
          <t>A MAXELL R14 Féltartós elem számos termék tápellátását biztosíthatja, amely Baby (C) típusú elemmel funkcionál. Használja akár gyermekjátékok, elemlámpák üzemeltetéséhez. 
Az elem teljesítménye 1,5 V. Mérete: Baby (C). 
A csomag 2 db elemet tartalmaz.</t>
        </is>
      </c>
    </row>
    <row r="744">
      <c r="A744" s="3" t="inlineStr">
        <is>
          <t>Maxell R03</t>
        </is>
      </c>
      <c r="B744" s="2" t="inlineStr">
        <is>
          <t>Maxell R03 AAA elem, féltartós, mini ceruza, 1,5V, 4 db/csomag</t>
        </is>
      </c>
      <c r="C744" s="1" t="n">
        <v>509.0</v>
      </c>
      <c r="D744" s="7" t="n">
        <f>HYPERLINK("https://www.somogyi.hu/product/maxell-r03-aaa-elem-feltartos-mini-ceruza-1-5v-4-db-csomag-maxell-r03-16355","https://www.somogyi.hu/product/maxell-r03-aaa-elem-feltartos-mini-ceruza-1-5v-4-db-csomag-maxell-r03-16355")</f>
        <v>0.0</v>
      </c>
      <c r="E744" s="7" t="n">
        <f>HYPERLINK("https://www.somogyi.hu/data/img/product_main_images/small/16355.jpg","https://www.somogyi.hu/data/img/product_main_images/small/16355.jpg")</f>
        <v>0.0</v>
      </c>
      <c r="F744" s="2" t="inlineStr">
        <is>
          <t>4902580154066</t>
        </is>
      </c>
      <c r="G744" s="4" t="inlineStr">
        <is>
          <t>Hogyan gondoskodhat alacsony energiaigényű eszközei megbízható működéséről egy praktikus és gazdaságos megoldással? A Maxell R03 AAA féltartós elem tökéletes választás azokhoz az eszközökhöz, amelyeknek mérsékelt, de stabil energiaellátásra van szükségük. Az 1,5 V-os feszültséggel rendelkező mini ceruza (AAA) méretű elemek kiváló teljesítményt nyújtanak mindennapi használatra, miközben a 4 db-os kiszerelés gazdaságos és praktikus megoldást kínál.
Megbízható energiaellátás különböző eszközökhöz
A féltartós technológiájú elemek ideálisak olyan eszközökhöz, amelyek nem igényelnek folyamatos nagy teljesítményt, de fontos a megbízhatóság és a stabil működés. Alkalmazási területek: – Távirányítók – Órák – Elektromos mérlegek – Kis teljesítményű játékok – Egyszerűbb zseblámpák
Az 1,5 V feszültség gondoskodik arról, hogy az eszközök zavartalanul működjenek, még hosszabb használat során is.
Gazdaságos kiszerelés és könnyű tárolás
A 4 db-os csomagolás biztosítja, hogy egyszerre több eszközt is ellásson megbízható energiaforrással. A kiszerelés átlátható és kényelmesen tárolható, így elemei mindig készen állnak a használatra, amikor szükség van rájuk.
Miért válassza a Maxell R03 AAA féltartós elemeket?
– Féltartós technológia, amely stabil energiaellátást nyújt alacsony energiaigényű eszközökhöz – 1,5 V feszültség, amely megbízható működést biztosít – Kompakt mini ceruza (AAA) méret a széles körű alkalmazhatóságért – 4 db-os kiszerelés, amely praktikus és gazdaságos megoldást kínál
A Maxell R03 AAA féltartós elemek megbízható energiaforrást biztosítanak minden olyan eszközhöz, ahol a stabil teljesítmény elengedhetetlen! Egy gazdaságos és praktikus választás, amely segít, hogy eszközei mindig készen álljanak a használatra.</t>
        </is>
      </c>
    </row>
    <row r="745">
      <c r="A745" s="3" t="inlineStr">
        <is>
          <t>Maxell CR2032</t>
        </is>
      </c>
      <c r="B745" s="2" t="inlineStr">
        <is>
          <t>Maxell CR2032 gombelem, lítium, 3V, 5 db/csomag</t>
        </is>
      </c>
      <c r="C745" s="1" t="n">
        <v>349.0</v>
      </c>
      <c r="D745" s="7" t="n">
        <f>HYPERLINK("https://www.somogyi.hu/product/maxell-cr2032-gombelem-litium-3v-5-db-csomag-maxell-cr2032-16365","https://www.somogyi.hu/product/maxell-cr2032-gombelem-litium-3v-5-db-csomag-maxell-cr2032-16365")</f>
        <v>0.0</v>
      </c>
      <c r="E745" s="7" t="n">
        <f>HYPERLINK("https://www.somogyi.hu/data/img/product_main_images/small/16365.jpg","https://www.somogyi.hu/data/img/product_main_images/small/16365.jpg")</f>
        <v>0.0</v>
      </c>
      <c r="F745" s="2" t="inlineStr">
        <is>
          <t>4902580131258</t>
        </is>
      </c>
      <c r="G745" s="4" t="inlineStr">
        <is>
          <t>Hogyan biztosíthatja kis méretű eszközei zavartalan működését megbízható energiaforrással?
A Maxell CR2032 lítium gombelem ideális választás, ha hosszú élettartamú, stabil és megbízható energiát keres elektronikai eszközei számára. Az 3 V-os feszültséggel rendelkező lítium technológiájú gombelem kimagasló teljesítményt nyújt, miközben kompakt méretével számos eszközben alkalmazható. Az 5 db-os bliszteres kiszerelés egyszerre több készülék energiaellátásáról is gondoskodik.
Kiváló teljesítmény és hosszú élettartam
A Maxell CR2032 gombelem lítium technológiája stabil és megbízható energiaellátást biztosít, amelyet hosszú élettartam jellemez. Az 3 V-os feszültség ideális a modern elektronikai eszközök működtetéséhez, így garantálva azok zavartalan működését. Különösen ajánlott olyan eszközökhöz, amelyek precíz energiaellátást igényelnek, például:
– Távirányítókhoz
– Órákhoz
– Számológépekhez
– Orvosi műszerekhez
– Kulcstartókhoz
Kompakt méret, sokoldalú alkalmazás
A CR2032-es méretű gombelem kompakt kialakításának köszönhetően számos eszközben használható. Könnyedén illeszkedik a kisebb helyigényű elektronikai készülékekbe, miközben stabil teljesítményt nyújt még hosszan tartó használat során is.
Praktikus kiszerelés
Az 5 db-os bliszteres csomagolás lehetővé teszi, hogy egyszerre több eszközt lásson el megbízható energiaforrással. Az ár egy csomagra vonatkozik, amely gazdaságos és kényelmes megoldást kínál, különösen akkor, ha egyszerre több elemre van szüksége otthonában vagy munkahelyén.
Miért érdemes a Maxell CR2032 gombelemet választani?
– Stabil és megbízható lítium technológia a hosszan tartó teljesítményért
– Kompakt CR2032-es méret, amely számos eszközben alkalmazható
– 3 V feszültség a precíz energiaellátásért
– Gazdaságos, 5 db-os bliszteres kiszerelés
A Maxell CR2032 gombelem megbízható energiaforrást kínál a modern elektronikai eszközökhöz!
Egy praktikus és hosszú élettartamú megoldás, amely minden igényének megfelel, legyen szó otthoni vagy professzionális használatról.</t>
        </is>
      </c>
    </row>
    <row r="746">
      <c r="A746" s="3" t="inlineStr">
        <is>
          <t>VARTA V23GA LR23</t>
        </is>
      </c>
      <c r="B746" s="2" t="inlineStr">
        <is>
          <t>VARTA V23GA LR23 elem, alkáli, LR23, 12V, 1 db/csomag</t>
        </is>
      </c>
      <c r="C746" s="1" t="n">
        <v>659.0</v>
      </c>
      <c r="D746" s="7" t="n">
        <f>HYPERLINK("https://www.somogyi.hu/product/varta-v23ga-lr23-elem-alkali-lr23-12v-1-db-csomag-varta-v23ga-lr23-16409","https://www.somogyi.hu/product/varta-v23ga-lr23-elem-alkali-lr23-12v-1-db-csomag-varta-v23ga-lr23-16409")</f>
        <v>0.0</v>
      </c>
      <c r="E746" s="7" t="n">
        <f>HYPERLINK("https://www.somogyi.hu/data/img/product_main_images/small/16409.jpg","https://www.somogyi.hu/data/img/product_main_images/small/16409.jpg")</f>
        <v>0.0</v>
      </c>
      <c r="F746" s="2" t="inlineStr">
        <is>
          <t>4008496261628</t>
        </is>
      </c>
      <c r="G746" s="4" t="inlineStr">
        <is>
          <t>Hogyan biztosíthatja nagy teljesítményű eszközei számára a hosszú élettartamú és megbízható energiaellátást?
A VARTA V23GA LR23 alkáli elem ideális választás, ha olyan speciális eszközöket használ, amelyek precíz energiaellátást igényelnek. Az 12 V-os feszültségű alkáli elem kimagasló teljesítményt nyújt, amely biztosítja a készülékek zavartalan működését. Az 1 db-os bliszteres kiszerelés praktikus és egyszerűen kezelhető megoldást kínál otthoni és professzionális használatra.
Megbízható energia különféle alkalmazásokhoz
A VARTA V23GA LR23 elem tökéletes választás olyan eszközök számára, amelyek stabil energiaellátást igényelnek. Kifejezetten ajánlott:
– Távirányítókhoz
– Garázskapu-nyitókhoz
– Autóriasztókhoz
– Orvosi eszközökhöz
– Egyéb nagy energiaigényű elektronikai készülékekhez
A 12 V-os feszültség biztosítja, hogy ezek az eszközök megbízhatóan és folyamatosan működjenek, akár intenzív használat mellett is.
Hosszú élettartam alkáli technológiával
A VARTA LR23 elem alkáli technológiája kiemelkedő teljesítményt és hosszú élettartamot garantál. Ez különösen fontos olyan eszközök esetében, amelyek gyakran használatban vannak, vagy amelyek zavartalan működése létfontosságú.
Kényelmes és átlátható csomagolás
Az 1 db-os bliszteres kiszerelés praktikus és könnyen tárolható megoldást kínál. A csomagolás megvédi az elemet a sérülésektől, miközben biztosítja, hogy mindig készen álljon a használatra.
Miért válassza a VARTA V23GA LR23 alkáli elemet?
– Precíz energiaellátás az alkáli technológiának köszönhetően
– 12 V-os feszültség, amely megbízható teljesítményt biztosít
– Kompakt LR23 méret, amely ideális speciális eszközökhöz
– Praktikus 1 db-os bliszteres kiszerelés, amely egyszerűen kezelhető és tárolható
A VARTA V23GA LR23 alkáli elem garantálja, hogy speciális eszközei mindig a legjobb teljesítményt nyújtsák!
Válassza ezt a megbízható és hosszú élettartamú energiaforrást, amely tökéletesen megfelel minden igényének.</t>
        </is>
      </c>
    </row>
    <row r="747">
      <c r="A747" s="3" t="inlineStr">
        <is>
          <t>Maxell LR6</t>
        </is>
      </c>
      <c r="B747" s="2" t="inlineStr">
        <is>
          <t>Maxell LR6 AA elem, alkáli, ceruza, 1,5V, 4 db/csomag</t>
        </is>
      </c>
      <c r="C747" s="1" t="n">
        <v>749.0</v>
      </c>
      <c r="D747" s="7" t="n">
        <f>HYPERLINK("https://www.somogyi.hu/product/maxell-lr6-aa-elem-alkali-ceruza-1-5v-4-db-csomag-maxell-lr6-16359","https://www.somogyi.hu/product/maxell-lr6-aa-elem-alkali-ceruza-1-5v-4-db-csomag-maxell-lr6-16359")</f>
        <v>0.0</v>
      </c>
      <c r="E747" s="7" t="n">
        <f>HYPERLINK("https://www.somogyi.hu/data/img/product_main_images/small/16359.jpg","https://www.somogyi.hu/data/img/product_main_images/small/16359.jpg")</f>
        <v>0.0</v>
      </c>
      <c r="F747" s="2" t="inlineStr">
        <is>
          <t>4902580163761</t>
        </is>
      </c>
      <c r="G747" s="4" t="inlineStr">
        <is>
          <t>Hogyan biztosíthatja eszközei számára a tartós és megbízható energiaellátást a mindennapokban? A Maxell LR6 AA alkáli elem ideális választás, ha hosszú élettartamú, stabil teljesítményt nyújtó energiaforrásra van szüksége. Ez az 1,5 V-os feszültségű ceruza (AA) méretű elem tökéletesen alkalmas a legkülönfélébb eszközök működtetésére, miközben a 4 db-os kiszerelés praktikus és gazdaságos megoldást kínál.
Kiemelkedő teljesítmény különböző eszközökhöz
A Maxell alkáli technológiájának köszönhetően az elemek hosszabb üzemidőt biztosítanak, így ideálisak mindennapi használatra. Kiváló választás az alábbi eszközökhöz: – Távirányítók – Játékok – Fényképezőgépek – Elemlámpák – Konyhai eszközök
Az 1,5 V feszültség biztosítja a zavartalan működést, még intenzív igénybevétel mellett is.
Tartós és gazdaságos megoldás
A 4 db-os bliszteres csomagolás egyszerre több eszköz energiaellátását is biztosítja. A gazdaságos kiszerelés praktikus megoldást jelent, különösen akkor, ha otthonában vagy munkahelyén több készüléket is működtet AA elemekkel. Az elemek hosszú élettartama minimalizálja a cserék gyakoriságát, ezzel időt és pénzt takarít meg.
Miért válassza a Maxell LR6 AA alkáli elemeket?
– Hosszú élettartam és megbízható teljesítmény az alkáli technológiának köszönhetően – 1,5 V feszültség, amely stabil energiaellátást nyújt – Széles körű felhasználhatóság, különféle eszközökhöz – Gazdaságos, 4 db-os bliszteres kiszerelés, amely praktikus és könnyen tárolható
A Maxell LR6 AA alkáli elemekkel eszközei mindig készen állnak a használatra! Egy megbízható és gazdaságos energiaforrás, amely segít, hogy mindennapi készülékei zavartalanul működjenek.</t>
        </is>
      </c>
    </row>
    <row r="748">
      <c r="A748" s="3" t="inlineStr">
        <is>
          <t>Maxell CR2016</t>
        </is>
      </c>
      <c r="B748" s="2" t="inlineStr">
        <is>
          <t>Maxell CR2016 gombelem, lítium, 3V, 5 db/csomag</t>
        </is>
      </c>
      <c r="C748" s="1" t="n">
        <v>349.0</v>
      </c>
      <c r="D748" s="7" t="n">
        <f>HYPERLINK("https://www.somogyi.hu/product/maxell-cr2016-gombelem-litium-3v-5-db-csomag-maxell-cr2016-16363","https://www.somogyi.hu/product/maxell-cr2016-gombelem-litium-3v-5-db-csomag-maxell-cr2016-16363")</f>
        <v>0.0</v>
      </c>
      <c r="E748" s="7" t="n">
        <f>HYPERLINK("https://www.somogyi.hu/data/img/product_main_images/small/16363.jpg","https://www.somogyi.hu/data/img/product_main_images/small/16363.jpg")</f>
        <v>0.0</v>
      </c>
      <c r="F748" s="2" t="inlineStr">
        <is>
          <t>4902580131272</t>
        </is>
      </c>
      <c r="G748" s="4" t="inlineStr">
        <is>
          <t>A MAXELL CR2016 Lítium gombelem számos termék tápellátását biztosíthatja, amely CR 2016 típusú gomb elemmel üzemeltethető. 
Az elem teljesítménye 3 V. Mérete: gombelem (CR2016).
A bliszter 5 db elemet tartalmaz.</t>
        </is>
      </c>
    </row>
    <row r="749">
      <c r="A749" s="3" t="inlineStr">
        <is>
          <t>Maxell LR03 4+2</t>
        </is>
      </c>
      <c r="B749" s="2" t="inlineStr">
        <is>
          <t>Maxell LR03 4+2 AAA elem, alkáli, ceruza, 1,5V, 6 db/csomag</t>
        </is>
      </c>
      <c r="C749" s="1" t="n">
        <v>1150.0</v>
      </c>
      <c r="D749" s="7" t="n">
        <f>HYPERLINK("https://www.somogyi.hu/product/maxell-lr03-4-2-aaa-elem-alkali-ceruza-1-5v-6-db-csomag-maxell-lr03-4-2-16370","https://www.somogyi.hu/product/maxell-lr03-4-2-aaa-elem-alkali-ceruza-1-5v-6-db-csomag-maxell-lr03-4-2-16370")</f>
        <v>0.0</v>
      </c>
      <c r="E749" s="7" t="n">
        <f>HYPERLINK("https://www.somogyi.hu/data/img/product_main_images/small/16370.jpg","https://www.somogyi.hu/data/img/product_main_images/small/16370.jpg")</f>
        <v>0.0</v>
      </c>
      <c r="F749" s="2" t="inlineStr">
        <is>
          <t>4902580164461</t>
        </is>
      </c>
      <c r="G749" s="4" t="inlineStr">
        <is>
          <t>A MAXELL LR03 4+2 Alkáli elem számos termék tápellátását biztosíthatja, amely mini ceruza (AAA) típusú elemmel funkcionál. Használja akár gyermekjátékok, fényfüzérek, csengők, elemlámpák üzemeltetéséhez. 
Az elem teljesítménye 1,5 V. Mérete: mini ceruza (AAA). 
A bliszter 6 db elemet tartalmaz.</t>
        </is>
      </c>
    </row>
    <row r="750">
      <c r="A750" s="3" t="inlineStr">
        <is>
          <t>Maxell 6LR61</t>
        </is>
      </c>
      <c r="B750" s="2" t="inlineStr">
        <is>
          <t>Maxell 6LR61 9V elem, alkáli, 1 db/csomag</t>
        </is>
      </c>
      <c r="C750" s="1" t="n">
        <v>919.0</v>
      </c>
      <c r="D750" s="7" t="n">
        <f>HYPERLINK("https://www.somogyi.hu/product/maxell-6lr61-9v-elem-alkali-1-db-csomag-maxell-6lr61-16362","https://www.somogyi.hu/product/maxell-6lr61-9v-elem-alkali-1-db-csomag-maxell-6lr61-16362")</f>
        <v>0.0</v>
      </c>
      <c r="E750" s="7" t="n">
        <f>HYPERLINK("https://www.somogyi.hu/data/img/product_main_images/small/16362.jpg","https://www.somogyi.hu/data/img/product_main_images/small/16362.jpg")</f>
        <v>0.0</v>
      </c>
      <c r="F750" s="2" t="inlineStr">
        <is>
          <t>4902580150259</t>
        </is>
      </c>
      <c r="G750" s="4" t="inlineStr">
        <is>
          <t>Hogyan biztosíthatja nagy teljesítményű eszközei számára a megbízható energiaellátást, amely hosszú távon is kitart?
A Maxell 6LR61 9V alkáli elem tökéletes választás, ha tartós és stabil energiaforrásra van szüksége. Az 9 V-os feszültségű alkáli technológiájú elem ideális nagy energiaigényű eszközökhöz, biztosítva azok megbízható és zavartalan működését. Az 1 db-os bliszteres kiszerelés praktikus és egyszerűen használható, így könnyedén pótolhatja eszközei energiaforrását.
Kiemelkedő teljesítmény különféle alkalmazásokhoz
A Maxell 9V-os eleme hosszú élettartamú és stabil energiaellátást nyújt számos eszköz számára, legyen szó otthoni vagy professzionális használatról. Kifejezetten ajánlott:
– Füstérzékelőkhöz
– Mikrofonokhoz
– Multiméterekhez
– Távirányítókhoz
– Játékokhoz és egyéb elektronikai eszközökhöz
Az 9 V feszültség biztosítja, hogy eszközei folyamatosan a legjobb teljesítményt nyújtsák, még hosszabb használat során is.
Tartós és megbízható alkáli technológia
Az alkáli technológiának köszönhetően a Maxell 9V elem hosszan tartó energiát biztosít, és ellenáll a nagyobb igénybevételnek is. Ez különösen fontos olyan eszközök esetében, ahol az állandó energiaellátás elengedhetetlen, például biztonsági rendszerekben vagy professzionális műszerekben.
Praktikus kiszerelés, könnyű használat
Az 1 db-os bliszteres csomagolás praktikus és átlátható megoldást nyújt, amely egyszerűvé teszi az elem cseréjét és tárolását. A kiszerelés optimális választás mind otthoni, mind professzionális felhasználásra, amikor gyors és hatékony energiaellátásra van szükség.
Miért érdemes a Maxell 6LR61 9V elemet választani?
– Hosszú élettartam és stabil teljesítmény az alkáli technológiának köszönhetően
– 9 V feszültség, amely megbízható energiaellátást biztosít
– Kompatibilitás számos eszközzel, a füstérzékelőktől a játékokig
– Praktikus, 1 db-os bliszteres kiszerelés a könnyű tárolásért és cseréért
A Maxell 6LR61 9V alkáli elem garantálja eszközei folyamatos és stabil működését!
Válassza ezt a hosszú élettartamú, megbízható energiaforrást, amely tökéletesen illeszkedik minden igényéhez.</t>
        </is>
      </c>
    </row>
    <row r="751">
      <c r="A751" s="3" t="inlineStr">
        <is>
          <t>VARTA 3R12</t>
        </is>
      </c>
      <c r="B751" s="2" t="inlineStr">
        <is>
          <t>VARTA 3R12 laposelem, féltartós, laposelem, 4,5V, 1 db/csomag</t>
        </is>
      </c>
      <c r="C751" s="1" t="n">
        <v>1050.0</v>
      </c>
      <c r="D751" s="7" t="n">
        <f>HYPERLINK("https://www.somogyi.hu/product/varta-3r12-laposelem-feltartos-laposelem-4-5v-1-db-csomag-varta-3r12-16401","https://www.somogyi.hu/product/varta-3r12-laposelem-feltartos-laposelem-4-5v-1-db-csomag-varta-3r12-16401")</f>
        <v>0.0</v>
      </c>
      <c r="E751" s="7" t="n">
        <f>HYPERLINK("https://www.somogyi.hu/data/img/product_main_images/small/16401.jpg","https://www.somogyi.hu/data/img/product_main_images/small/16401.jpg")</f>
        <v>0.0</v>
      </c>
      <c r="F751" s="2" t="inlineStr">
        <is>
          <t>4008496556595</t>
        </is>
      </c>
      <c r="G751" s="4" t="inlineStr">
        <is>
          <t>A VARTA 3R12 Féltartós elem számos termék tápellátását biztosíthatja, amely (3R12) típusú lapos elemmel üzemeltethető.
Az elem teljesítménye 4,5 V. Mérete: Laposelem (3R12). 
A csomag 1 db elemet tartalmaz.</t>
        </is>
      </c>
    </row>
    <row r="752">
      <c r="A752" s="3" t="inlineStr">
        <is>
          <t>VARTA CR2450</t>
        </is>
      </c>
      <c r="B752" s="2" t="inlineStr">
        <is>
          <t>VARTA CR2450 gombelem, lítium, CR2450, 3V, 1 db/csomag</t>
        </is>
      </c>
      <c r="C752" s="1" t="n">
        <v>1590.0</v>
      </c>
      <c r="D752" s="7" t="n">
        <f>HYPERLINK("https://www.somogyi.hu/product/varta-cr2450-gombelem-litium-cr2450-3v-1-db-csomag-varta-cr2450-16407","https://www.somogyi.hu/product/varta-cr2450-gombelem-litium-cr2450-3v-1-db-csomag-varta-cr2450-16407")</f>
        <v>0.0</v>
      </c>
      <c r="E752" s="7" t="n">
        <f>HYPERLINK("https://www.somogyi.hu/data/img/product_main_images/small/16407.jpg","https://www.somogyi.hu/data/img/product_main_images/small/16407.jpg")</f>
        <v>0.0</v>
      </c>
      <c r="F752" s="2" t="inlineStr">
        <is>
          <t>4008496270972</t>
        </is>
      </c>
      <c r="G752" s="4" t="inlineStr">
        <is>
          <t>Hogyan biztosíthatja speciális eszközei számára a megbízható és hosszú élettartamú energiaellátást?
A VARTA CR2450 lítium gombelem ideális választás precíziós műszerek és modern elektronikai eszközök energiaellátására. Az 3 V-os feszültségű CR2450 típusú lítium technológiájú gombelem kimagasló teljesítményt és hosszú élettartamot biztosít, így kiválóan alkalmazható különféle készülékekhez. Az 1 db-os bliszteres kiszerelés átlátható és könnyen kezelhető megoldást kínál, amely tökéletes választás otthoni és professzionális használatra is.
Hosszan tartó energia, precíz teljesítmény
A CR2450 lítium gombelem kifejezetten olyan eszközökhöz készült, amelyek hosszú távú, stabil energiaellátást igényelnek. Ajánlott az alábbi alkalmazási területekre:
– Karórákhoz
– Számológépekhez
– Orvosi műszerekhez
– Elektronikus kulcstartókhoz
– Precíziós mérőeszközökhöz
A 3 V-os feszültség biztosítja, hogy eszközei mindig a legjobb teljesítményt nyújtsák, még hosszabb használat során is.
Lítium technológia a megbízhatóságért
A lítium technológia garantálja az elemek magas energiasűrűségét, amely hosszabb élettartamot és stabil működést eredményez. A VARTA CR2450 gombelem ellenáll a szélsőséges hőmérsékleti viszonyoknak, így még extrém körülmények között is megbízható energiaforrást biztosít.
Praktikus kiszerelés és könnyű tárolás
Az 1 db-os bliszteres csomagolás praktikus és könnyen tárolható, így elemei mindig kéznél lesznek, amikor szükség van rájuk. Az átlátható kiszerelés lehetővé teszi, hogy gyorsan és egyszerűen cserélhesse az elemeket készülékeiben.
Miért érdemes a VARTA CR2450 lítium gombelemet választani?
– Hosszú élettartam a lítium technológiának köszönhetően
– 3 V-os feszültség, amely stabil és megbízható teljesítményt nyújt
– Kompakt CR2450-es méret, amely tökéletesen illeszkedik precíziós eszközökbe
– 1 db-os bliszteres kiszerelés a praktikus használatért és tárolásért
A VARTA CR2450 lítium gombelem tökéletes választás, ha tartós és megbízható energiaforrást keres eszközeihez!
Egy magas minőségű és hosszú élettartamú megoldás, amely garantálja eszközei zavartalan működését.</t>
        </is>
      </c>
    </row>
    <row r="753">
      <c r="A753" s="3" t="inlineStr">
        <is>
          <t>Maxell SR626SW</t>
        </is>
      </c>
      <c r="B753" s="2" t="inlineStr">
        <is>
          <t>Maxell SR626SW gombelem, ezüst-oxid, 1,55V, 1 db/csomag</t>
        </is>
      </c>
      <c r="C753" s="1" t="n">
        <v>269.0</v>
      </c>
      <c r="D753" s="7" t="n">
        <f>HYPERLINK("https://www.somogyi.hu/product/maxell-sr626sw-gombelem-ezust-oxid-1-55v-1-db-csomag-maxell-sr626sw-16595","https://www.somogyi.hu/product/maxell-sr626sw-gombelem-ezust-oxid-1-55v-1-db-csomag-maxell-sr626sw-16595")</f>
        <v>0.0</v>
      </c>
      <c r="E753" s="7" t="n">
        <f>HYPERLINK("https://www.somogyi.hu/data/img/product_main_images/small/16595.jpg","https://www.somogyi.hu/data/img/product_main_images/small/16595.jpg")</f>
        <v>0.0</v>
      </c>
      <c r="F753" s="2" t="inlineStr">
        <is>
          <t>4902580132248</t>
        </is>
      </c>
      <c r="G753" s="4" t="inlineStr">
        <is>
          <t>A MAXELL SR626SW Ezüst- oxid gombelem számos termék tápellátását biztosíthatja, amely SR 626 SW típusú gomb elemmel üzemeltethető. 
Az elem teljesítménye 1,55 V. Mérete: gombelem (SR626SW).
A bliszter 10 db elemet tartalmaz.</t>
        </is>
      </c>
    </row>
    <row r="754">
      <c r="A754" s="3" t="inlineStr">
        <is>
          <t>LR03 24PK POWER PACK Maxell</t>
        </is>
      </c>
      <c r="B754" s="2" t="inlineStr">
        <is>
          <t>Maxell LR03 24PK POWER PACK, AAA elemcsomag, 1,5V, 24 db/doboz</t>
        </is>
      </c>
      <c r="C754" s="1" t="n">
        <v>4590.0</v>
      </c>
      <c r="D754" s="7" t="n">
        <f>HYPERLINK("https://www.somogyi.hu/product/maxell-lr03-24pk-power-pack-aaa-elemcsomag-1-5v-24-db-doboz-lr03-24pk-power-pack-maxell-16294","https://www.somogyi.hu/product/maxell-lr03-24pk-power-pack-aaa-elemcsomag-1-5v-24-db-doboz-lr03-24pk-power-pack-maxell-16294")</f>
        <v>0.0</v>
      </c>
      <c r="E754" s="7" t="n">
        <f>HYPERLINK("https://www.somogyi.hu/data/img/product_main_images/small/16294.jpg","https://www.somogyi.hu/data/img/product_main_images/small/16294.jpg")</f>
        <v>0.0</v>
      </c>
      <c r="F754" s="2" t="inlineStr">
        <is>
          <t>4902580748357</t>
        </is>
      </c>
      <c r="G754" s="4" t="inlineStr">
        <is>
          <t>Hogyan biztosíthatja eszközei számára a hosszan tartó és megbízható energiaellátást gazdaságos kiszerelésben?
A Maxell LR03 24PK POWER PACK AAA elemcsomag ideális választás minden olyan készülékhez, amely stabil és tartós energiaforrást igényel. Az 1,5 V-os alkáli technológiájú mini ceruza (AAA) méretű elemek hosszú üzemidőt és megbízható teljesítményt nyújtanak. A 24 db-os dobozos kiszerelés kiváló ár-érték arányt kínál, különösen azok számára, akik nagy mennyiségű elemre tartanak igényt otthon vagy munkahelyükön.
Hosszan tartó teljesítmény különböző eszközökhöz
A Maxell alkáli elemei kiemelkedő teljesítményt biztosítanak számos eszközben. Ideális választás az alábbi alkalmazási területekre:
– Távirányítók
– Zseblámpák
– Játékok
– Elektromos konyhai eszközök
– Egészségügyi műszerek
Az 1,5 V-os feszültség megbízható energiaellátást garantál, akár hosszabb ideig tartó intenzív használat mellett is.
Gazdaságos és praktikus megoldás
A 24 db-os dobozos kiszerelés nemcsak gazdaságos, hanem praktikus is. A nagy mennyiségű elemeket tartalmazó csomag biztosítja, hogy mindig elegendő energiaforrás álljon rendelkezésre, legyen szó otthoni, irodai vagy ipari felhasználásról. A csomag könnyen tárolható és átlátható, így az elemek mindig kéznél lesznek.
Miért válassza a Maxell LR03 24PK POWER PACK elemeket?
– Hosszú élettartam az alkáli technológiának köszönhetően
– 1,5 V feszültség, amely stabil teljesítményt biztosít
– AAA méret, amely számos eszközhöz használható
– Gazdaságos, 24 db-os kiszerelés, amely hosszú távú megoldást nyújt
– Praktikus csomagolás a könnyű tárolás érdekében
A Maxell LR03 24PK POWER PACK elemekkel eszközei mindig megbízható energiaellátást kapnak!
Válassza ezt a gazdaságos és hosszú távon is fenntartható megoldást, amely minden igényt kielégít.</t>
        </is>
      </c>
    </row>
    <row r="755">
      <c r="A755" s="3" t="inlineStr">
        <is>
          <t>Maxell CR1620</t>
        </is>
      </c>
      <c r="B755" s="2" t="inlineStr">
        <is>
          <t>Maxell CR1620 gombelem, lítium, 3V, 5 db/csomag</t>
        </is>
      </c>
      <c r="C755" s="1" t="n">
        <v>719.0</v>
      </c>
      <c r="D755" s="7" t="n">
        <f>HYPERLINK("https://www.somogyi.hu/product/maxell-cr1620-gombelem-litium-3v-5-db-csomag-maxell-cr1620-17899","https://www.somogyi.hu/product/maxell-cr1620-gombelem-litium-3v-5-db-csomag-maxell-cr1620-17899")</f>
        <v>0.0</v>
      </c>
      <c r="E755" s="7" t="n">
        <f>HYPERLINK("https://www.somogyi.hu/data/img/product_main_images/small/17899.jpg","https://www.somogyi.hu/data/img/product_main_images/small/17899.jpg")</f>
        <v>0.0</v>
      </c>
      <c r="F755" s="2" t="inlineStr">
        <is>
          <t>4902580776459</t>
        </is>
      </c>
      <c r="G755" s="4" t="inlineStr">
        <is>
          <t>Hogyan biztosíthatja elektronikai eszközei számára a hosszan tartó, megbízható energiaellátást?
A Maxell CR1620 lítium gombelem ideális választás különféle kisfogyasztású eszközökhöz, mint például távirányítók, digitális mérőeszközök, órák vagy számológépek. A lítium technológiának köszönhetően hosszú élettartamot és stabil, megbízható működést nyújt, így biztosítva, hogy eszközei mindig készen álljanak a használatra. A 3 V-os feszültségű, CR1620 típusú gombelem kiválóan teljesít a különböző alkalmazási területeken, a praktikus 5 darabos bliszteres kiszerelés pedig kényelmes és biztonságos tárolást garantál.
Hosszú élettartam lítium technológiával
A Maxell CR1620 elem lítium alapú, ami kiemelkedően hosszú üzemidőt biztosít még alacsony hőmérsékleten is. Ezáltal ideális választás olyan eszközökhöz, amelyek folyamatos energiaellátást igényelnek. A stabil feszültség biztosítja, hogy az eszközök precízen működjenek, legyen szó időmérésről vagy távirányításról.
Kiváló teljesítmény kompakt méretben
A CR1620 típusú gombelem kompakt, de nagy teljesítményű energiaforrást biztosít, amely tökéletesen illeszkedik a legtöbb kisebb elektronikus eszközbe. A 3 V-os feszültség és a precíz méretezés garantálja, hogy az elem stabilan helyezkedjen el az eszközökben, csökkentve a hibás működés kockázatát.
Praktikus, 5 darabos bliszteres csomagolás
A csomag 5 db CR1620 gombelemet tartalmaz, amely ideális több eszköz egyidejű ellátására vagy tartalék elemként való tárolásra. A bliszteres kiszerelés védi az elemeket a külső sérülésektől és a nedvességtől, így hosszabb tárolási idő után is megbízható teljesítményt nyújtanak.
Miért válassza a Maxell CR1620 lítium gombelemet?
– Hosszú élettartam és stabil működés a lítium technológiának köszönhetően 
– Kompakt méret, amely illeszkedik a legtöbb kisebb elektronikus eszközhöz
 – 3 V-os feszültség, amely garantálja a kiváló teljesítményt 
– 5 darabos bliszteres kiszerelés, amely biztonságos tárolást és egyszerű kezelhetőséget kínál 
– Széles körű felhasználhatóság távirányítókhoz, órákhoz, számológépekhez és egyéb eszközökhöz
Válassza a Maxell CR1620 lítium gombelemet, és élvezze a hosszan tartó, megbízható energiaellátást eszközei számára! Kiváló teljesítmény, praktikus csomagolás és prémium minőség – ez a tökéletes választás, ha hosszú távú megoldást keres.</t>
        </is>
      </c>
    </row>
    <row r="756">
      <c r="A756" s="3" t="inlineStr">
        <is>
          <t>VARTA CR1220</t>
        </is>
      </c>
      <c r="B756" s="2" t="inlineStr">
        <is>
          <t>VARTA CR1220 gombelem, lítium, CR1220, 3V, 1 db/csomag</t>
        </is>
      </c>
      <c r="C756" s="1" t="n">
        <v>749.0</v>
      </c>
      <c r="D756" s="7" t="n">
        <f>HYPERLINK("https://www.somogyi.hu/product/varta-cr1220-gombelem-litium-cr1220-3v-1-db-csomag-varta-cr1220-16403","https://www.somogyi.hu/product/varta-cr1220-gombelem-litium-cr1220-3v-1-db-csomag-varta-cr1220-16403")</f>
        <v>0.0</v>
      </c>
      <c r="E756" s="7" t="n">
        <f>HYPERLINK("https://www.somogyi.hu/data/img/product_main_images/small/16403.jpg","https://www.somogyi.hu/data/img/product_main_images/small/16403.jpg")</f>
        <v>0.0</v>
      </c>
      <c r="F756" s="2" t="inlineStr">
        <is>
          <t>4008496276899</t>
        </is>
      </c>
      <c r="G756" s="4" t="inlineStr">
        <is>
          <t>A VARTA CR1220 Lítium gombelem számos termék tápellátását biztosíthatja, amely CR1220 típusú gomb elemmel üzemeltethető. 
Az elem teljesítménye 3 V. Mérete: gombelem (CR1220).
A bliszter 1 db elemet tartalmaz.</t>
        </is>
      </c>
    </row>
    <row r="757">
      <c r="A757" s="3" t="inlineStr">
        <is>
          <t>Maxell LR1130</t>
        </is>
      </c>
      <c r="B757" s="2" t="inlineStr">
        <is>
          <t>Maxell LR1130 gombelem, LR1130, alkáli, 1,5V, 10 db/csomag</t>
        </is>
      </c>
      <c r="C757" s="1" t="n">
        <v>169.0</v>
      </c>
      <c r="D757" s="7" t="n">
        <f>HYPERLINK("https://www.somogyi.hu/product/maxell-lr1130-gombelem-lr1130-alkali-1-5v-10-db-csomag-maxell-lr1130-16398","https://www.somogyi.hu/product/maxell-lr1130-gombelem-lr1130-alkali-1-5v-10-db-csomag-maxell-lr1130-16398")</f>
        <v>0.0</v>
      </c>
      <c r="E757" s="7" t="n">
        <f>HYPERLINK("https://www.somogyi.hu/data/img/product_main_images/small/16398.jpg","https://www.somogyi.hu/data/img/product_main_images/small/16398.jpg")</f>
        <v>0.0</v>
      </c>
      <c r="F757" s="2" t="inlineStr">
        <is>
          <t>4902580131425</t>
        </is>
      </c>
      <c r="G757" s="4" t="inlineStr">
        <is>
          <t>Hogyan biztosíthatja kis méretű eszközei számára a megbízható energiaellátást, amikor minden milliméter számít? A Maxell LR1130 alkáli gombelem ideális választás precíziós műszerek és kis helyigényű készülékek energiaellátására. Az 1,5 V-os feszültségű gombelem kimagasló teljesítményt nyújt, miközben kompakt méretének köszönhetően számos eszközben alkalmazható. A 10 db-os bliszteres kiszerelés gazdaságos és kényelmes megoldást kínál mindennapi vagy professzionális felhasználásra.
Megbízható energiaellátás kis méretű eszközökhöz
A Maxell LR1130 gombelem hosszú élettartamú és stabil teljesítményt biztosít olyan eszközök számára, amelyek precíz energiaellátást igényelnek. 
Különösen ajánlott: 
– Karórákhoz 
– Számológépekhez
 – Játékokhoz 
– Orvosi eszközökhöz
 – Távirányítókhoz
Az alkáli technológia garantálja az állandó teljesítményt, így biztos lehet benne, hogy eszközei megbízhatóan működnek.
Kompakt méret, univerzális alkalmazás
Az LR1130 gombelem kis mérete lehetővé teszi, hogy számos apró készülékben felhasználható legyen, miközben stabil és hosszan tartó energiaforrást biztosít. Ideális választás, ha helytakarékos megoldásra van szükség.
Gazdaságos kiszerelés hosszú távú felhasználásra
A 10 db-os bliszteres csomagolás praktikus és költséghatékony, különösen akkor, ha egyszerre több eszköz energiaellátását szeretné biztosítani. A csomag könnyen tárolható, így elemei mindig kéznél lehetnek, amikor szükség van rájuk.
Miért válassza a Maxell LR1130 alkáli gombelemet?
– Stabil energiaellátás az alkáli technológiának köszönhetően 
– 1,5 V feszültség, amely megbízható teljesítményt nyújt 
– Kompakt méret, amely lehetővé teszi a sokoldalú felhasználást 
– Gazdaságos, 10 db-os kiszerelés, amely praktikus és kényelmes megoldást kínál
A Maxell LR1130 gombelem tökéletes választás minden olyan eszközhöz, ahol fontos a precíz és hosszan tartó energiaellátás! Egy megbízható és gazdaságos energiaforrás, amely garantálja eszközei zavartalan működését.</t>
        </is>
      </c>
    </row>
    <row r="758">
      <c r="A758" s="3" t="inlineStr">
        <is>
          <t>Maxell R6</t>
        </is>
      </c>
      <c r="B758" s="2" t="inlineStr">
        <is>
          <t>Maxell R6 AA elem, féltartós, ceruza, 1,5V, 4 db/csomag</t>
        </is>
      </c>
      <c r="C758" s="1" t="n">
        <v>449.0</v>
      </c>
      <c r="D758" s="7" t="n">
        <f>HYPERLINK("https://www.somogyi.hu/product/maxell-r6-aa-elem-feltartos-ceruza-1-5v-4-db-csomag-maxell-r6-16353","https://www.somogyi.hu/product/maxell-r6-aa-elem-feltartos-ceruza-1-5v-4-db-csomag-maxell-r6-16353")</f>
        <v>0.0</v>
      </c>
      <c r="E758" s="7" t="n">
        <f>HYPERLINK("https://www.somogyi.hu/data/img/product_main_images/small/16353.jpg","https://www.somogyi.hu/data/img/product_main_images/small/16353.jpg")</f>
        <v>0.0</v>
      </c>
      <c r="F758" s="2" t="inlineStr">
        <is>
          <t>4902580153403</t>
        </is>
      </c>
      <c r="G758" s="4" t="inlineStr">
        <is>
          <t>A MAXELL R6 Féltartós elem számos termék tápellátását biztosíthatja, amely ceruza (AA) típusú elemmel funkcionál. Használja akár gyermekjátékok, fényfüzérek, csengők, elemlámpák üzemeltetéséhez. 
Az elem teljesítménye 1,5 V. Mérete: ceruza (AA). 
A csomag 4 db elemet tartalmaz.</t>
        </is>
      </c>
    </row>
    <row r="759">
      <c r="A759" s="3" t="inlineStr">
        <is>
          <t>LR6 24PK POWER PACK Maxell</t>
        </is>
      </c>
      <c r="B759" s="2" t="inlineStr">
        <is>
          <t>Maxell LR6 24PK POWER PACK, AA elemcsomag, 1,5V, 24 db/doboz</t>
        </is>
      </c>
      <c r="C759" s="1" t="n">
        <v>4590.0</v>
      </c>
      <c r="D759" s="7" t="n">
        <f>HYPERLINK("https://www.somogyi.hu/product/maxell-lr6-24pk-power-pack-aa-elemcsomag-1-5v-24-db-doboz-lr6-24pk-power-pack-maxell-16293","https://www.somogyi.hu/product/maxell-lr6-24pk-power-pack-aa-elemcsomag-1-5v-24-db-doboz-lr6-24pk-power-pack-maxell-16293")</f>
        <v>0.0</v>
      </c>
      <c r="E759" s="7" t="n">
        <f>HYPERLINK("https://www.somogyi.hu/data/img/product_main_images/small/16293.jpg","https://www.somogyi.hu/data/img/product_main_images/small/16293.jpg")</f>
        <v>0.0</v>
      </c>
      <c r="F759" s="2" t="inlineStr">
        <is>
          <t>4902580748326</t>
        </is>
      </c>
      <c r="G759" s="4" t="inlineStr">
        <is>
          <t>Hogyan biztosíthatja eszközei számára a hosszan tartó energiaellátást egyetlen gazdaságos csomagban? A Maxell LR6 24PK POWER PACK AA elemcsomag ideális választás, ha megbízható, tartós és költséghatékony energiaforrást keres. Ez az 1,5 V-os alkáli elem kiváló teljesítményt nyújt különféle eszközök számára, miközben a 24 db-os doboz biztosítja, hogy mindig elegendő elem álljon rendelkezésére.
Kiemelkedő teljesítmény különböző eszközökhöz
A Maxell LR6 alkáli elemek hosszú élettartamot és stabil energiaellátást biztosítanak. Kiváló választás mindennapi használatra, például: – Távirányítókhoz – Játékokhoz – Fényképezőgépekhez – Faliórákhoz – Elemlámpákhoz
Az 1,5 V feszültség garantálja az eszközök zavartalan működését, még intenzív használat esetén is.
Gazdaságos megoldás nagyobb energiaigényhez
A 24 db-os kiszerelés ideális otthoni, irodai vagy akár professzionális felhasználásra is. Ez a praktikus csomag biztosítja, hogy hosszú ideig ne kelljen új elemeket vásárolnia, így időt és pénzt takaríthat meg. A dobozos kiszerelés átlátható és könnyen tárolható, így elemei mindig kéznél lesznek.
Miért válassza a Maxell LR6 24PK POWER PACK elemeket?
– Hosszú élettartam és megbízható teljesítmény az alkáli technológiának köszönhetően – Univerzális használat különféle eszközökhöz – Gazdaságos 24 db-os kiszerelés, amely tartós megoldást nyújt – Könnyen tárolható és praktikus dobozos csomagolás
A Maxell LR6 24PK POWER PACK elemcsomag tökéletes választás azok számára, akik hosszan tartó és megbízható energiaellátást keresnek! Egy praktikus megoldás, amely biztosítja eszközei zavartalan működését minden helyzetben.</t>
        </is>
      </c>
    </row>
    <row r="760">
      <c r="A760" s="3" t="inlineStr">
        <is>
          <t>Maxell LR41</t>
        </is>
      </c>
      <c r="B760" s="2" t="inlineStr">
        <is>
          <t>Maxell LR41 gombelem, alkáli, LR41, 1,5V, 10 db/csomag</t>
        </is>
      </c>
      <c r="C760" s="1" t="n">
        <v>169.0</v>
      </c>
      <c r="D760" s="7" t="n">
        <f>HYPERLINK("https://www.somogyi.hu/product/maxell-lr41-gombelem-alkali-lr41-1-5v-10-db-csomag-maxell-lr41-16594","https://www.somogyi.hu/product/maxell-lr41-gombelem-alkali-lr41-1-5v-10-db-csomag-maxell-lr41-16594")</f>
        <v>0.0</v>
      </c>
      <c r="E760" s="7" t="n">
        <f>HYPERLINK("https://www.somogyi.hu/data/img/product_main_images/small/16594.jpg","https://www.somogyi.hu/data/img/product_main_images/small/16594.jpg")</f>
        <v>0.0</v>
      </c>
      <c r="F760" s="2" t="inlineStr">
        <is>
          <t>4902580132682</t>
        </is>
      </c>
      <c r="G760" s="4" t="inlineStr">
        <is>
          <t>Hogyan gondoskodhat precíziós eszközei folyamatos és megbízható energiaellátásáról?
A Maxell LR41 alkáli gombelem kiváló választás, ha hosszú élettartamú és stabil energiaforrást keres kis méretű, nagy pontosságot igénylő eszközei számára. Az 1,5 V-os alkáli technológiájú gombelemek ideálisak karórákhoz, számológépekhez és orvosi műszerekhez is. A 10 db-os bliszteres kiszerelés gazdaságos és kényelmes megoldást kínál, amely praktikus mind otthoni, mind professzionális felhasználásra.
Stabil teljesítmény különféle eszközökhöz
Az LR41 gombelem sokoldalúan felhasználható, különösen olyan eszközöknél, amelyek precíz energiaellátást igényelnek. Ajánlott alkalmazási területek:
– Karórák
– Számológépek
– Orvosi műszerek
– Elektronikus játékok
– Távirányítók
Az 1,5 V-os feszültség biztosítja, hogy eszközei zavartalanul és megbízhatóan működjenek még hosszabb használat során is.
Tartós alkáli technológia
A Maxell LR41 gombelem alkáli technológiája biztosítja a hosszú élettartamot és a nagyobb energiasűrűséget, amely garantálja a folyamatos teljesítményt. Ez különösen fontos olyan eszközök esetében, ahol a hosszú távú működés elengedhetetlen, például orvosi eszközök vagy precíziós műszerek használatakor.
Praktikus 10 db-os kiszerelés
A 10 db-os bliszteres csomagolás gazdaságos megoldást kínál, hiszen egy csomag elegendő elemet tartalmaz több eszköz energiaellátásához is. A kompakt és átlátható csomagolás egyszerűvé teszi az elemek tárolását és cseréjét, így mindig kéznél lehetnek.
Miért válassza a Maxell LR41 alkáli gombelemet?
– Stabil és tartós energiaellátás az alkáli technológiának köszönhetően
– 1,5 V feszültség, amely megbízható teljesítményt biztosít
– Kompakt méret, amely ideális precíziós eszközökhöz
– Gazdaságos, 10 db-os kiszerelés, amely praktikus és kényelmes megoldást kínál
A Maxell LR41 gombelem biztosítja, hogy eszközei mindig zavartalanul működjenek!
Válasszon egy megbízható és tartós energiaforrást, amely garantálja precíziós műszerei hosszú távú teljesítményét.</t>
        </is>
      </c>
    </row>
    <row r="761">
      <c r="A761" s="3" t="inlineStr">
        <is>
          <t>VARTA CR123</t>
        </is>
      </c>
      <c r="B761" s="2" t="inlineStr">
        <is>
          <t>VARTA CR123 elem, lítium, CR123, 3V, 1 db/csomag</t>
        </is>
      </c>
      <c r="C761" s="1" t="n">
        <v>1850.0</v>
      </c>
      <c r="D761" s="7" t="n">
        <f>HYPERLINK("https://www.somogyi.hu/product/varta-cr123-elem-litium-cr123-3v-1-db-csomag-varta-cr123-16410","https://www.somogyi.hu/product/varta-cr123-elem-litium-cr123-3v-1-db-csomag-varta-cr123-16410")</f>
        <v>0.0</v>
      </c>
      <c r="E761" s="7" t="n">
        <f>HYPERLINK("https://www.somogyi.hu/data/img/product_main_images/small/16410.jpg","https://www.somogyi.hu/data/img/product_main_images/small/16410.jpg")</f>
        <v>0.0</v>
      </c>
      <c r="F761" s="2" t="inlineStr">
        <is>
          <t>4008496537280</t>
        </is>
      </c>
      <c r="G761" s="4" t="inlineStr">
        <is>
          <t>A VARTA CR123 Lítium elem számos termék tápellátását biztosíthatja, amely CR 123 típusú elemmel üzemeltethető. 
Az elem teljesítménye 3 V. Mérete: (CR123).
A bliszter 1 db elemet tartalmaz.</t>
        </is>
      </c>
    </row>
    <row r="762">
      <c r="A762" s="3" t="inlineStr">
        <is>
          <t>VARTA CR2430</t>
        </is>
      </c>
      <c r="B762" s="2" t="inlineStr">
        <is>
          <t>VARTA CR2430 gombelem, lítium, CR2430, 3V, 1 db/csomag</t>
        </is>
      </c>
      <c r="C762" s="1" t="n">
        <v>869.0</v>
      </c>
      <c r="D762" s="7" t="n">
        <f>HYPERLINK("https://www.somogyi.hu/product/varta-cr2430-gombelem-litium-cr2430-3v-1-db-csomag-varta-cr2430-16406","https://www.somogyi.hu/product/varta-cr2430-gombelem-litium-cr2430-3v-1-db-csomag-varta-cr2430-16406")</f>
        <v>0.0</v>
      </c>
      <c r="E762" s="7" t="n">
        <f>HYPERLINK("https://www.somogyi.hu/data/img/product_main_images/small/16406.jpg","https://www.somogyi.hu/data/img/product_main_images/small/16406.jpg")</f>
        <v>0.0</v>
      </c>
      <c r="F762" s="2" t="inlineStr">
        <is>
          <t>4008496276929</t>
        </is>
      </c>
      <c r="G762" s="4" t="inlineStr">
        <is>
          <t>A VARTA CR2430 Lítium gombelem számos termék tápellátását biztosíthatja, amely CR2430 típusú gomb elemmel üzemeltethető. 
Az elem teljesítménye 3 V. Mérete: gombelem (CR2430).
A bliszter 1 db elemet tartalmaz.</t>
        </is>
      </c>
    </row>
    <row r="763">
      <c r="A763" s="3" t="inlineStr">
        <is>
          <t>Maxell LR20</t>
        </is>
      </c>
      <c r="B763" s="2" t="inlineStr">
        <is>
          <t>Maxell LR20 D elem, féltartós, góliát, 1,5V, 2 db/csomag</t>
        </is>
      </c>
      <c r="C763" s="1" t="n">
        <v>2290.0</v>
      </c>
      <c r="D763" s="7" t="n">
        <f>HYPERLINK("https://www.somogyi.hu/product/maxell-lr20-d-elem-feltartos-goliat-1-5v-2-db-csomag-maxell-lr20-16357","https://www.somogyi.hu/product/maxell-lr20-d-elem-feltartos-goliat-1-5v-2-db-csomag-maxell-lr20-16357")</f>
        <v>0.0</v>
      </c>
      <c r="E763" s="7" t="n">
        <f>HYPERLINK("https://www.somogyi.hu/data/img/product_main_images/small/16357.jpg","https://www.somogyi.hu/data/img/product_main_images/small/16357.jpg")</f>
        <v>0.0</v>
      </c>
      <c r="F763" s="2" t="inlineStr">
        <is>
          <t>4902580161170</t>
        </is>
      </c>
      <c r="G763" s="4" t="inlineStr">
        <is>
          <t>Hogyan biztosíthatja nagy energiaigényű eszközei számára a megbízható és tartós energiaellátást?
A Maxell LR20 D féltartós góliátelem kiváló választás, ha hosszú élettartamú és stabil teljesítményt nyújtó energiaforrásra van szüksége. Az 1,5 V-os alkáli technológiával működő góliátelemek kimagasló energiaellátást biztosítanak, különösen nagy teljesítményt igénylő eszközöknél. A 2 db-os bliszteres kiszerelés praktikus és gazdaságos megoldást kínál otthoni és professzionális használatra is.
Megbízható energiaellátás nagyobb eszközökhöz
Az LR20 góliátelemek tartós energiaellátást nyújtanak, amely ideális nagyobb készülékekhez. Kifejezetten ajánlott az alábbi eszközökhöz:
– Elemlámpák
– Hordozható rádiók
– Játékok
– Konyhai eszközök
– Egyéb nagy energiaigényű készülékek
Az 1,5 V-os feszültség gondoskodik a zavartalan működésről, még hosszan tartó használat során is.
Hosszú élettartam féltartós technológiával
A Maxell LR20 góliátelemek féltartós alkáli technológiája garantálja a stabil energiaellátást és a hosszú üzemidőt. Ez különösen előnyös azoknál az eszközöknél, amelyek folyamatosan vagy gyakran használatban vannak, biztosítva a megbízható teljesítményt a mindennapok során.
Praktikus és gazdaságos kiszerelés
A 2 db-os bliszteres csomagolás egyszerre kényelmes és átlátható megoldást kínál. A kompakt csomagolásnak köszönhetően az elemek könnyen tárolhatók, és mindig kéznél vannak, amikor szükség van rájuk. A gazdaságos kiszerelés hosszú távon is költséghatékony választást jelent.
Miért válassza a Maxell LR20 D góliátelemeket?
– Stabil és tartós energiaellátás az alkáli technológiának köszönhetően
– 1,5 V-os feszültség, amely garantálja az eszközök megbízható működését
– Góliát (D) méret, amely kiválóan alkalmas nagy energiaigényű eszközökhöz
– Praktikus 2 db-os bliszteres kiszerelés, amely átlátható és könnyen tárolható
A Maxell LR20 góliátelemek biztosítják eszközei folyamatos működését még a legnagyobb igénybevétel mellett is!
Válasszon egy tartós és megbízható energiaforrást, amely minden energiaigényű készülékéhez tökéletesen illeszkedik.</t>
        </is>
      </c>
    </row>
    <row r="764">
      <c r="A764" s="6" t="inlineStr">
        <is>
          <t xml:space="preserve">   Lakáskiegészítő / Billetyűzet, egér</t>
        </is>
      </c>
      <c r="B764" s="6" t="inlineStr">
        <is>
          <t/>
        </is>
      </c>
      <c r="C764" s="6" t="inlineStr">
        <is>
          <t/>
        </is>
      </c>
      <c r="D764" s="6" t="inlineStr">
        <is>
          <t/>
        </is>
      </c>
      <c r="E764" s="6" t="inlineStr">
        <is>
          <t/>
        </is>
      </c>
      <c r="F764" s="6" t="inlineStr">
        <is>
          <t/>
        </is>
      </c>
      <c r="G764" s="6" t="inlineStr">
        <is>
          <t/>
        </is>
      </c>
    </row>
    <row r="765">
      <c r="A765" s="3" t="inlineStr">
        <is>
          <t>CGR-WXNMB-DF-HU</t>
        </is>
      </c>
      <c r="B765" s="2" t="inlineStr">
        <is>
          <t>COUGAR Deathfire CGR-WXNMB-DF-HU vezetékes gamer magyar billentyűzet és egér</t>
        </is>
      </c>
      <c r="C765" s="1" t="n">
        <v>11890.0</v>
      </c>
      <c r="D765" s="7" t="n">
        <f>HYPERLINK("https://www.somogyi.hu/product/cougar-deathfire-cgr-wxnmb-df-hu-vezetekes-gamer-magyar-billentyuzet-es-eger-cgr-wxnmb-df-hu-19030","https://www.somogyi.hu/product/cougar-deathfire-cgr-wxnmb-df-hu-vezetekes-gamer-magyar-billentyuzet-es-eger-cgr-wxnmb-df-hu-19030")</f>
        <v>0.0</v>
      </c>
      <c r="E765" s="7" t="n">
        <f>HYPERLINK("https://www.somogyi.hu/data/img/product_main_images/small/19030.jpg","https://www.somogyi.hu/data/img/product_main_images/small/19030.jpg")</f>
        <v>0.0</v>
      </c>
      <c r="F765" s="2" t="inlineStr">
        <is>
          <t>4715302448493</t>
        </is>
      </c>
      <c r="G765" s="4" t="inlineStr">
        <is>
          <t>Ön is gyakran szembesül azzal, hogy a jelenlegi perifériái nem nyújtják azt a teljesítményt, amit a játékok megkövetelnek? A COUGAR Deathfire megoldást nyújt minden gamer számára, aki kompromisszumok nélküli irányításra és látványos megjelenésre vágyik. Ez a vezetékes gamer billentyűzet és egér kombináció kimagasló teljesítményt, megbízhatóságot és testreszabhatóságot kínál – mindezt lenyűgöző dizájnnal ötvözve.
Lenyűgöző megjelenés és precíz vezérlés
A Deathfire rendszer minden környezethez igazodik: a billentyűzet és egér 7 különböző színű háttérvilágítása lehetőséget biztosít a személyre szabott megjelenésre. Egyedi dizájnja nemcsak esztétikus, hanem rendkívül praktikus is – egyetlen dedikált gombnyomással könnyedén váltogathatja a színeket menet közben, anélkül, hogy megszakítaná a játékot.
Billentyűzet - Hibrid mechanikus kapcsolók a gyors reakciókért
A COUGAR Deathfire billentyűzete hibrid mechanikus kapcsolókkal van felszerelve, amelyek biztosítják a gyors és pontos visszajelzést, anélkül, hogy a mechanikus billentyűzeteknél megszokott hangos kattogás zavarná meg. Az Anti Ghosting technológia segítségével akár több billentyű egyidejű lenyomását is pontosan érzékeli, így garantálva, hogy minden mozdulat számítson a játék során. A WASD és nyílbillentyűk cserélhetősége további testreszabhatóságot nyújt, hogy mindig az Ön játékstílusának megfelelően állíthassa be a vezérlést. A billentyűzet robusztus, 1000 grammos kialakítása pedig stabilitást biztosít a legintenzívebb pillanatokban is.
Egér – Pontosság és kényelem minden mozdulatban
Az egér pontos ADNS-5050 optikai érzékelője állítható DPI értékeket (500/1000/1500/2000) kínál, így mindig az adott játék igényeihez igazíthatja a mozgás érzékenységét. Az OMRON kapcsolók tartósak és megbízhatóak, minden kattintás villámgyors reakciót vált ki. A 1000 Hz-es lekérdezési frekvencia tovább növeli az egér sebességét és pontosságát, így egyetlen fontos pillanatról sem marad le a játék során. Ráadásul a kétkezes kialakítás lehetővé teszi, hogy mind bal-, mind jobbkezes játékosok kényelmesen használhassák.
A COUGAR Deathfire főbb jellemzői:
* A billentyűzet hibrid mechanikus kapcsolókkal van felszerelve, amelyek gyors és csendes visszajelzést biztosítanak, így a precizitás és a sebesség mindig kéznél van.
* A 7 színű háttérvilágítás nemcsak látványos, hanem testreszabható is, így a játékos saját stílusához igazíthatja az eszköz megjelenését.
* Az Anti Ghosting technológia lehetővé teszi több billentyű egyidejű lenyomását, így minden parancs pontosan végrehajtódik a leggyorsabb akciók közepette is.
* A WASD és nyílbillentyűk cserélhetősége további rugalmasságot ad, így minden játékos a saját igényei szerint állíthatja be a vezérlést.
* Az egér állítható DPI érzékenysége (500/1000/1500/2000 DPI) lehetővé teszi a gyors reakciókat és a pontos célzást.
* A OMRON kapcsolók garantálják a hosszú élettartamot és a villámgyors kattintási visszajelzést, míg a 1000 Hz-es lekérdezési frekvencia folyamatos, megbízható teljesítményt biztosít.
* Mind a billentyűzet, mind az egér USB csatlakozóval rendelkezik, így egyszerűen csatlakoztathatók bármely modern Windows operációs rendszerhez.
* A kétkezes egér könnyű, mindössze 85 grammos, így hosszú órákon át is kényelmes használatot nyújt.
* 
Lépjen a következő szintre a COUGAR Deathfire segítségével!
Ha olyan gamer perifériákra van szüksége, amelyek garantálják a gyors reakciókat, a látványos megjelenést és a kényelmes, pontos irányítást, akkor a COUGAR Deathfire az Ön számára készült! Szerezze be még ma, és tapasztalja meg a tökéletes kombinációját a precizitásnak és a stílusnak!</t>
        </is>
      </c>
    </row>
    <row r="766">
      <c r="A766" s="3" t="inlineStr">
        <is>
          <t>LRG-GMP919</t>
        </is>
      </c>
      <c r="B766" s="2" t="inlineStr">
        <is>
          <t>Lorgar Steller 919 LRG-GMP919 gamer egérpad, kiváló csúszófelület, 900x360x3 mm, USB csatlakozás</t>
        </is>
      </c>
      <c r="C766" s="1" t="n">
        <v>8590.0</v>
      </c>
      <c r="D766" s="7" t="n">
        <f>HYPERLINK("https://www.somogyi.hu/product/lorgar-steller-919-lrg-gmp919-gamer-egerpad-kivalo-csuszofelulet-900x360x3-mm-usb-csatlakozas-lrg-gmp919-19031","https://www.somogyi.hu/product/lorgar-steller-919-lrg-gmp919-gamer-egerpad-kivalo-csuszofelulet-900x360x3-mm-usb-csatlakozas-lrg-gmp919-19031")</f>
        <v>0.0</v>
      </c>
      <c r="E766" s="7" t="n">
        <f>HYPERLINK("https://www.somogyi.hu/data/img/product_main_images/small/19031.jpg","https://www.somogyi.hu/data/img/product_main_images/small/19031.jpg")</f>
        <v>0.0</v>
      </c>
      <c r="F766" s="2" t="inlineStr">
        <is>
          <t>5291485010232</t>
        </is>
      </c>
      <c r="G766" s="4" t="inlineStr">
        <is>
          <t>Szeretne egy olyan gamer egérpadot, amely kiváló játékélményt biztosít? A Lorgar Steller 919 egérpad nemcsak a látványával fogja lenyűgözni, hanem a teljesítményével is, amely új szintre emeli a játékélményt. 
A kiváló csúszófelület a legmagasabb szintű gyorsaságot és mozgékonyságot kínálja, így minden egérmozdulat könnyed és pontos lesz. A multispandex anyag biztosítja az alacsony súrlódást, ami különösen fontos a gyors reakcióidőt igénylő helyzetekben.
Tökéletes irányítás és stabilitás
Az egérpad csúszásgátló gumi alapja garantálja, hogy az egérpad a helyén marad még akkor is, ha a legintenzívebb pillanatokban mozgatja az egeret. A 3 mm-es vastagság nemcsak extra kényelmet biztosít, de elnyeli a kisebb egyenetlenségeket is, így egyenletes felületet kínál minden játékhoz. Az egérpad felülete érzékelőkhöz optimalizált, így bármilyen típusú egérrel zökkenőmentesen használható.
Látványos RGB háttérvilágítás
A 5 módozatú RGB háttérvilágítás különleges atmoszférát teremt bármelyik játékállomásnál. Csatlakoztassa a USB porton keresztül, és élvezze az egyedi világítási effektusokat, amelyek teljesen testreszabhatók a Lorgar Platformsegítségével. Válassza ki kedvenc színeit, igazítsa a fényerőt a hangulathoz, vagy szinkronizálja a világítást más Lorgar eszközökkel, hogy tökéletes harmóniát teremtsen a játékterén.
Kiemelkedő jellemzők egyetlen egérpadban:
* A multispandex anyagból készült felület alacsony ellenállást biztosít, hogy a mozgások gyorsak és pontosak legyenek
* A 900x360 mm-es méret tökéletesen elegendő helyet biztosít az egér és akár a billentyűzet számára is
* A csúszásgátló gumitalp stabilan tartja az egérpadot, függetlenül attól, mennyire hevesen játszik
* Az 5 módozatú RGB háttérvilágítás testreszabható, és szinkronizálható más Lorgar eszközökkel, így egységes, látványos fényhatást hoz létre
* USB csatlakozással könnyedén csatlakoztatható a PC-hez vagy laptophoz
* A Lorgar Platformon keresztüli teljes testreszabás lehetősége egyedi élményt kínál minden játékos számára
Emelje új szintre a játékélményt az Lorgar Steller 919 segítségével!
Ha egy olyan gamer egérpadot keres, amely a legmagasabb teljesítményt és látványvilágot kínálja, az Lorgar Steller 919 a tökéletes választás. Próbálja ki, és tapasztalja meg, milyen, amikor minden mozdulat pontos és minden fényhatás lenyűgöző! Szerezze be most, és lépjen be a gamer világ új dimenziójába!</t>
        </is>
      </c>
    </row>
    <row r="767">
      <c r="A767" s="6" t="inlineStr">
        <is>
          <t xml:space="preserve">   Lakáskiegészítő / Számológép</t>
        </is>
      </c>
      <c r="B767" s="6" t="inlineStr">
        <is>
          <t/>
        </is>
      </c>
      <c r="C767" s="6" t="inlineStr">
        <is>
          <t/>
        </is>
      </c>
      <c r="D767" s="6" t="inlineStr">
        <is>
          <t/>
        </is>
      </c>
      <c r="E767" s="6" t="inlineStr">
        <is>
          <t/>
        </is>
      </c>
      <c r="F767" s="6" t="inlineStr">
        <is>
          <t/>
        </is>
      </c>
      <c r="G767" s="6" t="inlineStr">
        <is>
          <t/>
        </is>
      </c>
    </row>
    <row r="768">
      <c r="A768" s="3" t="inlineStr">
        <is>
          <t>BC-MS8</t>
        </is>
      </c>
      <c r="B768" s="2" t="inlineStr">
        <is>
          <t>Btech BC-MS8 asztali számológép, napelemes, nagy kijelző, 12 számjegyű, százalékszámítás, gyökvonás</t>
        </is>
      </c>
      <c r="C768" s="1" t="n">
        <v>3790.0</v>
      </c>
      <c r="D768" s="7" t="n">
        <f>HYPERLINK("https://www.somogyi.hu/product/btech-bc-ms8-asztali-szamologep-napelemes-nagy-kijelzo-12-szamjegyu-szazalekszamitas-gyokvonas-bc-ms8-14336","https://www.somogyi.hu/product/btech-bc-ms8-asztali-szamologep-napelemes-nagy-kijelzo-12-szamjegyu-szazalekszamitas-gyokvonas-bc-ms8-14336")</f>
        <v>0.0</v>
      </c>
      <c r="E768" s="7" t="n">
        <f>HYPERLINK("https://www.somogyi.hu/data/img/product_main_images/small/14336.jpg","https://www.somogyi.hu/data/img/product_main_images/small/14336.jpg")</f>
        <v>0.0</v>
      </c>
      <c r="F768" s="2" t="inlineStr">
        <is>
          <t>5999007174799</t>
        </is>
      </c>
      <c r="G768" s="4" t="inlineStr">
        <is>
          <t>Szüksége van egy megbízható, könnyen kezelhető asztali számológépre? A Btech BC-MS8 asztali számológép a tökéletes választás!
Ez a számológép nagy kijelzővel rendelkezik, amely 12 számjegyű, így könnyen olvasható és használható még hosszabb számítások során is. Az alapműveletek mellett százalékszámításra és gyökvonásra is alkalmas, így sokoldalú eszköz bármilyen irodai vagy otthoni feladathoz.
A Btech BC-MS8 napelemes működésű, így energiahatékony és környezetbarát. Emellett tartalmaz egy 1 db LR44 gombelemet is a folyamatos használat érdekében. Kompakt méretével (10 x 14 x 2 cm) kényelmesen elfér az íróasztalon vagy akár egy fiókban is.
Válassza a Btech BC-MS8 asztali számológépet a pontos és gyors számításokhoz minden nap! Szerezze be most, és élvezze a kényelmet és megbízhatóságot, amit ez a kiváló minőségű számológép nyújt!</t>
        </is>
      </c>
    </row>
    <row r="769">
      <c r="A769" s="6" t="inlineStr">
        <is>
          <t xml:space="preserve">   Lakáskiegészítő / Ülő, álló munkahely</t>
        </is>
      </c>
      <c r="B769" s="6" t="inlineStr">
        <is>
          <t/>
        </is>
      </c>
      <c r="C769" s="6" t="inlineStr">
        <is>
          <t/>
        </is>
      </c>
      <c r="D769" s="6" t="inlineStr">
        <is>
          <t/>
        </is>
      </c>
      <c r="E769" s="6" t="inlineStr">
        <is>
          <t/>
        </is>
      </c>
      <c r="F769" s="6" t="inlineStr">
        <is>
          <t/>
        </is>
      </c>
      <c r="G769" s="6" t="inlineStr">
        <is>
          <t/>
        </is>
      </c>
    </row>
    <row r="770">
      <c r="A770" s="3" t="inlineStr">
        <is>
          <t>SST 01</t>
        </is>
      </c>
      <c r="B770" s="2" t="inlineStr">
        <is>
          <t>Home SST 01 ülő-álló asztali munkahely, minőségi MDF alapanyag, nagy szilárdságú acélváz, 5 magasságbeállítás, benyomható fogantyú, 67x47cm</t>
        </is>
      </c>
      <c r="C770" s="1" t="n">
        <v>18290.0</v>
      </c>
      <c r="D770" s="7" t="n">
        <f>HYPERLINK("https://www.somogyi.hu/product/home-sst-01-ulo-allo-asztali-munkahely-minosegi-mdf-alapanyag-nagy-szilardsagu-acelvaz-5-magassagbeallitas-benyomhato-fogantyu-67x47cm-sst-01-17321","https://www.somogyi.hu/product/home-sst-01-ulo-allo-asztali-munkahely-minosegi-mdf-alapanyag-nagy-szilardsagu-acelvaz-5-magassagbeallitas-benyomhato-fogantyu-67x47cm-sst-01-17321")</f>
        <v>0.0</v>
      </c>
      <c r="E770" s="7" t="n">
        <f>HYPERLINK("https://www.somogyi.hu/data/img/product_main_images/small/17321.jpg","https://www.somogyi.hu/data/img/product_main_images/small/17321.jpg")</f>
        <v>0.0</v>
      </c>
      <c r="F770" s="2" t="inlineStr">
        <is>
          <t>5999084953430</t>
        </is>
      </c>
      <c r="G770" s="4" t="inlineStr">
        <is>
          <t>Az SST 01 Ülő- álló asztali munkahely használata lehetővé teszi a kényelmes munkavégzést, mellyel elérhetőbb a helyes testtartás ülő- de akár álló pozícióban is. 
A monitor mindig szemmagasságban helyezhető el, ezzel csökkentve a nyaki és háti fájdalmakat. 
Környezetbarát MDF alapanyagból készült, így nagy ütésállósággal rendelkezik. 
Nagy szilárdságú acélvázzal és ultra vékony profillal készült. 
A benyomható fogantyúval könnyedén, egy pillanat alatt állíthatja be a magasságot 45- 405 mm-ig 5 pozícióban. 
Az EVA habszivacsok megvédik az asztalt a karcolásoktól és a kopástól.
Teremtsen komfortosabb környezetet a hosszú távú számítógép előtti munkához!</t>
        </is>
      </c>
    </row>
    <row r="771">
      <c r="A771" s="6" t="inlineStr">
        <is>
          <t xml:space="preserve">   Lakáskiegészítő / TV Box</t>
        </is>
      </c>
      <c r="B771" s="6" t="inlineStr">
        <is>
          <t/>
        </is>
      </c>
      <c r="C771" s="6" t="inlineStr">
        <is>
          <t/>
        </is>
      </c>
      <c r="D771" s="6" t="inlineStr">
        <is>
          <t/>
        </is>
      </c>
      <c r="E771" s="6" t="inlineStr">
        <is>
          <t/>
        </is>
      </c>
      <c r="F771" s="6" t="inlineStr">
        <is>
          <t/>
        </is>
      </c>
      <c r="G771" s="6" t="inlineStr">
        <is>
          <t/>
        </is>
      </c>
    </row>
    <row r="772">
      <c r="A772" s="3" t="inlineStr">
        <is>
          <t>TV SMART BOX</t>
        </is>
      </c>
      <c r="B772" s="2" t="inlineStr">
        <is>
          <t>Home TV SMART BOX Android TV, TV-okosító, multimédia-lejátszó, számítógép, egér és billentyűzet csatlakozás, 4/64GB memória, 4x2GHz processzor, 4K</t>
        </is>
      </c>
      <c r="C772" s="1" t="n">
        <v>26190.0</v>
      </c>
      <c r="D772" s="7" t="n">
        <f>HYPERLINK("https://www.somogyi.hu/product/home-tv-smart-box-android-tv-tv-okosito-multimedia-lejatszo-szamitogep-eger-es-billentyuzet-csatlakozas-4-64gb-memoria-4x2ghz-processzor-4k-tv-smart-box-17751","https://www.somogyi.hu/product/home-tv-smart-box-android-tv-tv-okosito-multimedia-lejatszo-szamitogep-eger-es-billentyuzet-csatlakozas-4-64gb-memoria-4x2ghz-processzor-4k-tv-smart-box-17751")</f>
        <v>0.0</v>
      </c>
      <c r="E772" s="7" t="n">
        <f>HYPERLINK("https://www.somogyi.hu/data/img/product_main_images/small/17751.jpg","https://www.somogyi.hu/data/img/product_main_images/small/17751.jpg")</f>
        <v>0.0</v>
      </c>
      <c r="F772" s="2" t="inlineStr">
        <is>
          <t>5999084957735</t>
        </is>
      </c>
      <c r="G772" s="4" t="inlineStr">
        <is>
          <t>Szeretne modernizálni otthonában, és minden lehetőséget kihasználni, amit a digitális világ kínál? A Home TV SMART BOX az Ön tökéletes társa lesz ebben, hiszen egy sokoldalú eszköz, amely TV-okosítóként, multimédia-lejátszóként is funkcionál.
Amennyiben már rendelkezik okostévével, a Home TV SMART BOX sokkal többre képes tenni azt. Akár egy általános számítógépet helyettesíthet vele, legyen szó munkáról, szórakozásról vagy játékról. Egyszerűen csatlakoztathat hozzá egeret és billentyűzetet, így még kényelmesebbé válik a használata. Régi televízióját vagy monitorát újra életre keltheti vele, új funkciókkal bővítve. A Home TV SMART BOX segítségével kedvenc fotóit, videóit vagy zenéit könnyedén megoszthatja tévéjén, internetcsatlakozáson keresztül, vezetékkel vagy WiFi-n keresztül. Az alkalmazásokat pedig a Google Play áruházból vagy alternatív forrásokból töltheti le.
4K UHD videók lejátszása sem jelent gondot a gyors és stabil működésű készüléknek, köszönhetően a High-Speed 4x2GHz processzornak és a 4/64GB nagy memóriának. YouTube kompatibilis, így garantáltan nem marad le semmiről. A személyre szabható RGB LED fényjáték pedig extra hangulatot visz otthonába. A csomag tartalmazza a távirányítót, hálózati adaptert és HDMI kábelt is. A távirányító tápellátását 2 x 1,5 V (AAA) elem biztosítja, amelyek nem tartoznak a csomaghoz. A készülék méretei (105 x 105 x 23 mm) és súlya (140 g) tökéletesen illeszkednek bármilyen otthoni környezetbe.
Válassza a Home TV SMART BOX-ot, és élvezze a modern otthoni szórakozás minden előnyét. Rendelje meg most, és fedezze fel, mennyire könnyű a digitális élmények világába lépni!</t>
        </is>
      </c>
    </row>
    <row r="773">
      <c r="A773" s="6" t="inlineStr">
        <is>
          <t xml:space="preserve">   Villamosság / STANLEY</t>
        </is>
      </c>
      <c r="B773" s="6" t="inlineStr">
        <is>
          <t/>
        </is>
      </c>
      <c r="C773" s="6" t="inlineStr">
        <is>
          <t/>
        </is>
      </c>
      <c r="D773" s="6" t="inlineStr">
        <is>
          <t/>
        </is>
      </c>
      <c r="E773" s="6" t="inlineStr">
        <is>
          <t/>
        </is>
      </c>
      <c r="F773" s="6" t="inlineStr">
        <is>
          <t/>
        </is>
      </c>
      <c r="G773" s="6" t="inlineStr">
        <is>
          <t/>
        </is>
      </c>
    </row>
    <row r="774">
      <c r="A774" s="3" t="inlineStr">
        <is>
          <t>SXECCM2FAVE</t>
        </is>
      </c>
      <c r="B774" s="2" t="inlineStr">
        <is>
          <t>STANLEY SXECCM2FAVE kültéri fém kábeldob, 40 m, IP44-es védelem, kábelvezető, masszív fém dob és láb, H07RN-F 3G1,5 mm2 kábel, max. 3000 W</t>
        </is>
      </c>
      <c r="C774" s="1" t="n">
        <v>49690.0</v>
      </c>
      <c r="D774" s="7" t="n">
        <f>HYPERLINK("https://www.somogyi.hu/product/stanley-sxeccm2fave-kulteri-fem-kabeldob-40-m-ip44-es-vedelem-kabelvezeto-massziv-fem-dob-es-lab-h07rn-f-3g1-5-mm2-kabel-max-3000-w-sxeccm2fave-16692","https://www.somogyi.hu/product/stanley-sxeccm2fave-kulteri-fem-kabeldob-40-m-ip44-es-vedelem-kabelvezeto-massziv-fem-dob-es-lab-h07rn-f-3g1-5-mm2-kabel-max-3000-w-sxeccm2fave-16692")</f>
        <v>0.0</v>
      </c>
      <c r="E774" s="7" t="n">
        <f>HYPERLINK("https://www.somogyi.hu/data/img/product_main_images/small/16692.jpg","https://www.somogyi.hu/data/img/product_main_images/small/16692.jpg")</f>
        <v>0.0</v>
      </c>
      <c r="F774" s="2" t="inlineStr">
        <is>
          <t>8719322271259</t>
        </is>
      </c>
      <c r="G774" s="4" t="inlineStr">
        <is>
          <t>A STANLEY Kültéri fém kábeldob masszív és robusztus kialakításának köszönhetően hosszú élettartamú lesz akár az építőiparban vagy otthoni alkalmazás során. Elsősorban szakembereknek ajánljuk, rendszeres használat mellett is. 
Beépített kábelvezetővel és kábel fékezővel ellátott. A kábeldob közepén az aljzatok nem fordulnak el, így kényelmes használatot biztosít a le és feltekerés alkalmával. A gumi vezeték hossza 40 m. IP 44-es védelemmel ellátott. 
A STANLEY prémium minőségű termékei kiváló anyagfelhasználással készültek, strapabíró és széles körű funkciókkal, a biztonságos használatot előtérbe helyezve. 
Élettartam garancia!</t>
        </is>
      </c>
    </row>
    <row r="775">
      <c r="A775" s="3" t="inlineStr">
        <is>
          <t>SXECCL27ARE</t>
        </is>
      </c>
      <c r="B775" s="2" t="inlineStr">
        <is>
          <t>STANLEY SXECCL27ARE kültéri kábeldob, 20 m, IP44-es védelem, kábelvezető, masszív fém láb, H07RN-F 3G1,5 mm2 kábel, max. 3000 W</t>
        </is>
      </c>
      <c r="C775" s="1" t="n">
        <v>34090.0</v>
      </c>
      <c r="D775" s="7" t="n">
        <f>HYPERLINK("https://www.somogyi.hu/product/stanley-sxeccl27are-kulteri-kabeldob-20-m-ip44-es-vedelem-kabelvezeto-massziv-fem-lab-h07rn-f-3g1-5-mm2-kabel-max-3000-w-sxeccl27are-16688","https://www.somogyi.hu/product/stanley-sxeccl27are-kulteri-kabeldob-20-m-ip44-es-vedelem-kabelvezeto-massziv-fem-lab-h07rn-f-3g1-5-mm2-kabel-max-3000-w-sxeccl27are-16688")</f>
        <v>0.0</v>
      </c>
      <c r="E775" s="7" t="n">
        <f>HYPERLINK("https://www.somogyi.hu/data/img/product_main_images/small/16688.jpg","https://www.somogyi.hu/data/img/product_main_images/small/16688.jpg")</f>
        <v>0.0</v>
      </c>
      <c r="F775" s="2" t="inlineStr">
        <is>
          <t>8719322271303</t>
        </is>
      </c>
      <c r="G775" s="4" t="inlineStr">
        <is>
          <t>A STANLEY Kültéri kábeldob masszív és robusztus kialakításának köszönhetően hosszú élettartamú lesz akár az építőiparban vagy otthoni alkalmazás során. Elsősorban szakembereknek ajánljuk, rendszeres használat mellett is. Beépített kábelvezetővel és kábel fékezővel ellátott. Masszív fém láb és fogantyú segíti a használatot. A 20 m-es vezeték feltűnő sárga színű a jó láthatóság érdekében. IP 44-es védelemmel ellátott.
A STANLEY prémium minőségű termékei kiváló anyagfelhasználással készültek, strapabíró és széles körű funkciókkal, a biztonságos használatot előtérbe helyezve. 
Élettartam garancia!</t>
        </is>
      </c>
    </row>
    <row r="776">
      <c r="A776" s="3" t="inlineStr">
        <is>
          <t>SXECCR91E2E</t>
        </is>
      </c>
      <c r="B776" s="2" t="inlineStr">
        <is>
          <t>STANLEY SXECCR91E2E hosszabbító lengőaljzattal, 20 m, IP44-es védelem, kül- és beltéren egyaránt használható, H07RN-F 3G2,5 mm2 fekete kábel</t>
        </is>
      </c>
      <c r="C776" s="1" t="n">
        <v>37690.0</v>
      </c>
      <c r="D776" s="7" t="n">
        <f>HYPERLINK("https://www.somogyi.hu/product/stanley-sxeccr91e2e-hosszabbito-lengoaljzattal-20-m-ip44-es-vedelem-kul-es-belteren-egyarant-hasznalhato-h07rn-f-3g2-5-mm2-fekete-kabel-sxeccr91e2e-16686","https://www.somogyi.hu/product/stanley-sxeccr91e2e-hosszabbito-lengoaljzattal-20-m-ip44-es-vedelem-kul-es-belteren-egyarant-hasznalhato-h07rn-f-3g2-5-mm2-fekete-kabel-sxeccr91e2e-16686")</f>
        <v>0.0</v>
      </c>
      <c r="E776" s="7" t="n">
        <f>HYPERLINK("https://www.somogyi.hu/data/img/product_main_images/small/16686.jpg","https://www.somogyi.hu/data/img/product_main_images/small/16686.jpg")</f>
        <v>0.0</v>
      </c>
      <c r="F776" s="2" t="inlineStr">
        <is>
          <t>8719322271853</t>
        </is>
      </c>
      <c r="G776" s="4" t="inlineStr">
        <is>
          <t>A STANLEY hosszabbító lengőaljzattal felszerelt, masszív és robusztus kialakításának köszönhetően hosszú élettartamú lesz akár az építőiparban vagy otthoni alkalmazás során. Elsősorban szakembereknek ajánljuk, rendszeres használat mellett is. 20 méteres 3 X 2,5 mm2 vezetékkel és IP 44-es védelemmel ellátott. Kül- és beltéren egyaránt használható. 
A STANLEY prémium minőségű termékei kiváló anyagfelhasználással készültek, strapabíró és széles körű funkciókkal, a biztonságos használatot előtérbe helyezve. 
Élettartam garancia!</t>
        </is>
      </c>
    </row>
    <row r="777">
      <c r="A777" s="3" t="inlineStr">
        <is>
          <t>SXECCR91A1E</t>
        </is>
      </c>
      <c r="B777" s="2" t="inlineStr">
        <is>
          <t>STANLEY SXECCR91A1E hosszabbító lengőaljzattal, 10 m, IP44-es védelem, kül- és beltéren egyaránt használható, H07RN-F 3G1,5 mm2 fekete kábel</t>
        </is>
      </c>
      <c r="C777" s="1" t="n">
        <v>13490.0</v>
      </c>
      <c r="D777" s="7" t="n">
        <f>HYPERLINK("https://www.somogyi.hu/product/stanley-sxeccr91a1e-hosszabbito-lengoaljzattal-10-m-ip44-es-vedelem-kul-es-belteren-egyarant-hasznalhato-h07rn-f-3g1-5-mm2-fekete-kabel-sxeccr91a1e-16685","https://www.somogyi.hu/product/stanley-sxeccr91a1e-hosszabbito-lengoaljzattal-10-m-ip44-es-vedelem-kul-es-belteren-egyarant-hasznalhato-h07rn-f-3g1-5-mm2-fekete-kabel-sxeccr91a1e-16685")</f>
        <v>0.0</v>
      </c>
      <c r="E777" s="7" t="n">
        <f>HYPERLINK("https://www.somogyi.hu/data/img/product_main_images/small/16685.jpg","https://www.somogyi.hu/data/img/product_main_images/small/16685.jpg")</f>
        <v>0.0</v>
      </c>
      <c r="F777" s="2" t="inlineStr">
        <is>
          <t>8719322271846</t>
        </is>
      </c>
      <c r="G777" s="4" t="inlineStr">
        <is>
          <t>A STANLEY hosszabbító lengőaljzattal felszerelt, masszív és robusztus kialakításának köszönhetően hosszú élettartamú lesz akár az építőiparban vagy otthoni alkalmazás során. Elsősorban szakembereknek ajánljuk, rendszeres használat mellett is. 10 méteres vezetékkel és IP 44-es védelemmel ellátott. Kül- és beltéren egyaránt használható. 
A STANLEY prémium minőségű termékei kiváló anyagfelhasználással készültek, strapabíró és széles körű funkciókkal, a biztonságos használatot előtérbe helyezve. 
Élettartam garancia!</t>
        </is>
      </c>
    </row>
    <row r="778">
      <c r="A778" s="3" t="inlineStr">
        <is>
          <t>SXECCR91A3E</t>
        </is>
      </c>
      <c r="B778" s="2" t="inlineStr">
        <is>
          <t>STANLEY SXECCR91A3E hosszabbító lengőaljzattal, 25 m, IP44-es védelem, kül- és beltéren egyaránt használható, H07RN-F 3G1,5 mm2 fekete kábel</t>
        </is>
      </c>
      <c r="C778" s="1" t="n">
        <v>32190.0</v>
      </c>
      <c r="D778" s="7" t="n">
        <f>HYPERLINK("https://www.somogyi.hu/product/stanley-sxeccr91a3e-hosszabbito-lengoaljzattal-25-m-ip44-es-vedelem-kul-es-belteren-egyarant-hasznalhato-h07rn-f-3g1-5-mm2-fekete-kabel-sxeccr91a3e-16687","https://www.somogyi.hu/product/stanley-sxeccr91a3e-hosszabbito-lengoaljzattal-25-m-ip44-es-vedelem-kul-es-belteren-egyarant-hasznalhato-h07rn-f-3g1-5-mm2-fekete-kabel-sxeccr91a3e-16687")</f>
        <v>0.0</v>
      </c>
      <c r="E778" s="7" t="n">
        <f>HYPERLINK("https://www.somogyi.hu/data/img/product_main_images/small/16687.jpg","https://www.somogyi.hu/data/img/product_main_images/small/16687.jpg")</f>
        <v>0.0</v>
      </c>
      <c r="F778" s="2" t="inlineStr">
        <is>
          <t>8719322271860</t>
        </is>
      </c>
      <c r="G778" s="4" t="inlineStr">
        <is>
          <t>A STANLEY hosszabbító lengőaljzattal felszerelt, masszív és robusztus kialakításának köszönhetően hosszú élettartamú lesz akár az építőiparban vagy otthoni alkalmazás során. Elsősorban szakembereknek ajánljuk, rendszeres használat mellett is. 25 méteres vezetékkel és IP 44-es védelemmel ellátott. Kül- és beltéren egyaránt használható. 
A STANLEY prémium minőségű termékei kiváló anyagfelhasználással készültek, strapabíró és széles körű funkciókkal, a biztonságos használatot előtérbe helyezve. 
Élettartam garancia!</t>
        </is>
      </c>
    </row>
    <row r="779">
      <c r="A779" s="3" t="inlineStr">
        <is>
          <t>SXECCL26BSE</t>
        </is>
      </c>
      <c r="B779" s="2" t="inlineStr">
        <is>
          <t>STANLEY SXECCL26BSE beltéri kábeldob, 25 m, beépített kábelvezető, masszív fém láb és fogantyú, H05VV-F 3G1,5 mm2 kábel, max. 3000 W</t>
        </is>
      </c>
      <c r="C779" s="1" t="n">
        <v>34390.0</v>
      </c>
      <c r="D779" s="7" t="n">
        <f>HYPERLINK("https://www.somogyi.hu/product/stanley-sxeccl26bse-belteri-kabeldob-25-m-beepitett-kabelvezeto-massziv-fem-lab-es-fogantyu-h05vv-f-3g1-5-mm2-kabel-max-3000-w-sxeccl26bse-16689","https://www.somogyi.hu/product/stanley-sxeccl26bse-belteri-kabeldob-25-m-beepitett-kabelvezeto-massziv-fem-lab-es-fogantyu-h05vv-f-3g1-5-mm2-kabel-max-3000-w-sxeccl26bse-16689")</f>
        <v>0.0</v>
      </c>
      <c r="E779" s="7" t="n">
        <f>HYPERLINK("https://www.somogyi.hu/data/img/product_main_images/small/16689.jpg","https://www.somogyi.hu/data/img/product_main_images/small/16689.jpg")</f>
        <v>0.0</v>
      </c>
      <c r="F779" s="2" t="inlineStr">
        <is>
          <t>8719322271297</t>
        </is>
      </c>
      <c r="G779" s="4" t="inlineStr">
        <is>
          <t>A STANLEY Beltéri kábeldob masszív és robusztus kialakításának köszönhetően hosszú élettartamú lesz akár az építőiparban vagy otthoni alkalmazás során. Elsősorban szakembereknek ajánljuk, rendszeres használat mellett is. Beépített kábelvezetővel és kábel fékezővel ellátott. Masszív fém láb és fogantyú segíti a használatot. A 25 m-es vezeték feltűnő sárga színű a jó láthatóság érdekében. IP 20-as védelemmel ellátott, így beltéri használatra javasolt. 
A STANLEY prémium minőségű termékei kiváló anyagfelhasználással készültek, strapabíró és széles körű funkciókkal, a biztonságos használatot előtérbe helyezve. 
Élettartam garancia!</t>
        </is>
      </c>
    </row>
    <row r="780">
      <c r="A780" s="3" t="inlineStr">
        <is>
          <t>SXECCL26BVE</t>
        </is>
      </c>
      <c r="B780" s="2" t="inlineStr">
        <is>
          <t>STANLEY SXECCL26BVE beltéri kábeldob, 25 m, beépített kábelvezető, masszív fém láb és fogantyú, H05VV-F 3G1,5 mm2 kábel, max. 3000 W</t>
        </is>
      </c>
      <c r="C780" s="1" t="n">
        <v>46290.0</v>
      </c>
      <c r="D780" s="7" t="n">
        <f>HYPERLINK("https://www.somogyi.hu/product/stanley-sxeccl26bve-belteri-kabeldob-25-m-beepitett-kabelvezeto-massziv-fem-lab-es-fogantyu-h05vv-f-3g1-5-mm2-kabel-max-3000-w-sxeccl26bve-16690","https://www.somogyi.hu/product/stanley-sxeccl26bve-belteri-kabeldob-25-m-beepitett-kabelvezeto-massziv-fem-lab-es-fogantyu-h05vv-f-3g1-5-mm2-kabel-max-3000-w-sxeccl26bve-16690")</f>
        <v>0.0</v>
      </c>
      <c r="E780" s="7" t="n">
        <f>HYPERLINK("https://www.somogyi.hu/data/img/product_main_images/small/16690.jpg","https://www.somogyi.hu/data/img/product_main_images/small/16690.jpg")</f>
        <v>0.0</v>
      </c>
      <c r="F780" s="2" t="inlineStr">
        <is>
          <t>8719322271280</t>
        </is>
      </c>
      <c r="G780" s="4" t="inlineStr">
        <is>
          <t>A STANLEY Beltéri kábeldob masszív és robusztus kialakításának köszönhetően hosszú élettartamú lesz akár az építőiparban vagy otthoni alkalmazás során. Elsősorban szakembereknek ajánljuk, rendszeres használat mellett is. Beépített kábelvezetővel és kábel fékezővel ellátott. Masszív fém láb és fogantyú segíti a használatot. A 40 m-es vezeték feltűnő sárga színű a jó láthatóság érdekében. IP 20-as védelemmel ellátott, így beltéri használatra javasolt. 
A STANLEY prémium minőségű termékei kiváló anyagfelhasználással készültek, strapabíró és széles körű funkciókkal, a biztonságos használatot előtérbe helyezve. 
Élettartam garancia!</t>
        </is>
      </c>
    </row>
    <row r="781">
      <c r="A781" s="3" t="inlineStr">
        <is>
          <t>SXECCM2FASE</t>
        </is>
      </c>
      <c r="B781" s="2" t="inlineStr">
        <is>
          <t>STANLEY SXECCM2FASE kültéri fém kábeldob, 25 m, IP44-es védelem, kábelvezető, masszív fém dob és láb, H07RN-F 3G1,5 mm2 kábel, max. 3000 W</t>
        </is>
      </c>
      <c r="C781" s="1" t="n">
        <v>44590.0</v>
      </c>
      <c r="D781" s="7" t="n">
        <f>HYPERLINK("https://www.somogyi.hu/product/stanley-sxeccm2fase-kulteri-fem-kabeldob-25-m-ip44-es-vedelem-kabelvezeto-massziv-fem-dob-es-lab-h07rn-f-3g1-5-mm2-kabel-max-3000-w-sxeccm2fase-16691","https://www.somogyi.hu/product/stanley-sxeccm2fase-kulteri-fem-kabeldob-25-m-ip44-es-vedelem-kabelvezeto-massziv-fem-dob-es-lab-h07rn-f-3g1-5-mm2-kabel-max-3000-w-sxeccm2fase-16691")</f>
        <v>0.0</v>
      </c>
      <c r="E781" s="7" t="n">
        <f>HYPERLINK("https://www.somogyi.hu/data/img/product_main_images/small/16691.jpg","https://www.somogyi.hu/data/img/product_main_images/small/16691.jpg")</f>
        <v>0.0</v>
      </c>
      <c r="F781" s="2" t="inlineStr">
        <is>
          <t>8719322271242</t>
        </is>
      </c>
      <c r="G781" s="4" t="inlineStr">
        <is>
          <t>A STANLEY Kültéri fém kábeldob masszív és robusztus kialakításának köszönhetően hosszú élettartamú lesz akár az építőiparban vagy otthoni alkalmazás során. Elsősorban szakembereknek ajánljuk, rendszeres használat mellett is. 
Beépített kábelvezetővel és kábel fékezővel ellátott. A kábeldob közepén az aljzatok nem fordulnak el. A gumi vezeték hossza 25 m. IP 44-es védelemmel ellátott.
A STANLEY prémium minőségű termékei kiváló anyagfelhasználással készültek, strapabíró és széles körű funkciókkal, a biztonságos használatot előtérbe helyezve. 
Élettartam garancia!</t>
        </is>
      </c>
    </row>
    <row r="782">
      <c r="A782" s="3" t="inlineStr">
        <is>
          <t>SXECCK0EAJE</t>
        </is>
      </c>
      <c r="B782" s="2" t="inlineStr">
        <is>
          <t>STANLEY SXECCK0EAJE 2-es elosztó, 5 m, IP44-es védelem, alumínium ház, övcsipesszel, beltérben is használható, H07RN-F 3G1,5 mm2 kábel</t>
        </is>
      </c>
      <c r="C782" s="1" t="n">
        <v>11690.0</v>
      </c>
      <c r="D782" s="7" t="n">
        <f>HYPERLINK("https://www.somogyi.hu/product/stanley-sxecck0eaje-2-es-eloszto-5-m-ip44-es-vedelem-aluminium-haz-ovcsipesszel-belterben-is-hasznalhato-h07rn-f-3g1-5-mm2-kabel-sxecck0eaje-16682","https://www.somogyi.hu/product/stanley-sxecck0eaje-2-es-eloszto-5-m-ip44-es-vedelem-aluminium-haz-ovcsipesszel-belterben-is-hasznalhato-h07rn-f-3g1-5-mm2-kabel-sxecck0eaje-16682")</f>
        <v>0.0</v>
      </c>
      <c r="E782" s="7" t="n">
        <f>HYPERLINK("https://www.somogyi.hu/data/img/product_main_images/small/16682.jpg","https://www.somogyi.hu/data/img/product_main_images/small/16682.jpg")</f>
        <v>0.0</v>
      </c>
      <c r="F782" s="2" t="inlineStr">
        <is>
          <t>8719322270955</t>
        </is>
      </c>
      <c r="G782" s="4" t="inlineStr">
        <is>
          <t>A STANLEY 2-es hálózati elosztó, övcsipesszel ellátott, így mindig könnyen elérhető lesz. A STANLEY hálózati elosztó alumínium háza masszív és robusztus kialakításának köszönhetően hosszú élettartamú lesz akár az építőiparban vagy otthoni alkalmazás során. Elsősorban szakembereknek ajánljuk, rendszeres használat mellett is. 5 méteres vezetékkel és IP 44-es védelemmel ellátott. 
A STANLEY prémium minőségű termékei kiváló anyagfelhasználással készültek, strapabíró és széles körű funkciókkal, a biztonságos használatot előtérbe helyezve. 
Élettartam garancia!</t>
        </is>
      </c>
    </row>
    <row r="783">
      <c r="A783" s="3" t="inlineStr">
        <is>
          <t>SXECCD0RAJE</t>
        </is>
      </c>
      <c r="B783" s="2" t="inlineStr">
        <is>
          <t>STANLEY SXECCD0RAJE 4-es elosztó kapcsolóval, 5 m, IP44-es védelem, alumínium ház, felakasztható, beltérben is használható, H07RN-F 3G1,5 mm2 kábel</t>
        </is>
      </c>
      <c r="C783" s="1" t="n">
        <v>22190.0</v>
      </c>
      <c r="D783" s="7" t="n">
        <f>HYPERLINK("https://www.somogyi.hu/product/stanley-sxeccd0raje-4-es-eloszto-kapcsoloval-5-m-ip44-es-vedelem-aluminium-haz-felakaszthato-belterben-is-hasznalhato-h07rn-f-3g1-5-mm2-kabel-sxeccd0raje-16680","https://www.somogyi.hu/product/stanley-sxeccd0raje-4-es-eloszto-kapcsoloval-5-m-ip44-es-vedelem-aluminium-haz-felakaszthato-belterben-is-hasznalhato-h07rn-f-3g1-5-mm2-kabel-sxeccd0raje-16680")</f>
        <v>0.0</v>
      </c>
      <c r="E783" s="7" t="n">
        <f>HYPERLINK("https://www.somogyi.hu/data/img/product_main_images/small/16680.jpg","https://www.somogyi.hu/data/img/product_main_images/small/16680.jpg")</f>
        <v>0.0</v>
      </c>
      <c r="F783" s="2" t="inlineStr">
        <is>
          <t>8719322270900</t>
        </is>
      </c>
      <c r="G783" s="4" t="inlineStr">
        <is>
          <t>A STANLEY 4-es hálózati elosztó kapcsolóval, felakasztható kivitelben készült, ezzel is megkönnyítve a használatot. A STANLEY hálózati elosztó alumínium háza masszív és robusztus kialakításának köszönhetően hosszú élettartamú lesz akár az építőiparban vagy otthoni alkalmazás során. Elsősorban szakembereknek ajánljuk, rendszeres használat mellett is. Az 5 m-es vezeték feltűnő sárga színű a jó láthatóság érdekében. IP 44-es védelemmel ellátott.
A STANLEY prémium minőségű termékei kiváló anyagfelhasználással készültek, strapabíró és széles körű funkciókkal, a biztonságos használatot előtérbe helyezve. 
Élettartam garancia!</t>
        </is>
      </c>
    </row>
    <row r="784">
      <c r="A784" s="3" t="inlineStr">
        <is>
          <t>SXECCC0LAJE</t>
        </is>
      </c>
      <c r="B784" s="2" t="inlineStr">
        <is>
          <t>STANLEY SXECCC0LAJE 2-es elosztó kapcsolóval, 5 m, IP44-es védelem, alumínium ház, leszúrható, beltérben is használható, H07RN-F 3G1,5 mm2 kábel</t>
        </is>
      </c>
      <c r="C784" s="1" t="n">
        <v>10290.0</v>
      </c>
      <c r="D784" s="7" t="n">
        <f>HYPERLINK("https://www.somogyi.hu/product/stanley-sxeccc0laje-2-es-eloszto-kapcsoloval-5-m-ip44-es-vedelem-aluminium-haz-leszurhato-belterben-is-hasznalhato-h07rn-f-3g1-5-mm2-kabel-sxeccc0laje-16681","https://www.somogyi.hu/product/stanley-sxeccc0laje-2-es-eloszto-kapcsoloval-5-m-ip44-es-vedelem-aluminium-haz-leszurhato-belterben-is-hasznalhato-h07rn-f-3g1-5-mm2-kabel-sxeccc0laje-16681")</f>
        <v>0.0</v>
      </c>
      <c r="E784" s="7" t="n">
        <f>HYPERLINK("https://www.somogyi.hu/data/img/product_main_images/small/16681.jpg","https://www.somogyi.hu/data/img/product_main_images/small/16681.jpg")</f>
        <v>0.0</v>
      </c>
      <c r="F784" s="2" t="inlineStr">
        <is>
          <t>8719322272898</t>
        </is>
      </c>
      <c r="G784" s="4" t="inlineStr">
        <is>
          <t>A STANLEY 2-es hálózati elosztó kapcsolóval, leszúrható kivitelben készült, így ideális a kültéri munkálatokhoz. A STANLEY hálózati elosztó alumínium háza masszív és robusztus kialakításának köszönhetően hosszú élettartamú lesz akár az építőiparban vagy otthoni alkalmazás során. Elsősorban szakembereknek ajánljuk, rendszeres használat mellett is. Az 5 m-es vezeték feltűnő sárga színű a jó láthatóság érdekében. IP 44-es védelemmel ellátott.
A STANLEY prémium minőségű termékei kiváló anyagfelhasználással készültek, strapabíró és széles körű funkciókkal, a biztonságos használatot előtérbe helyezve. 
Élettartam garancia!</t>
        </is>
      </c>
    </row>
    <row r="785">
      <c r="A785" s="3" t="inlineStr">
        <is>
          <t>SXECCH2LAFE</t>
        </is>
      </c>
      <c r="B785" s="2" t="inlineStr">
        <is>
          <t>STANLEY SXECCH2LAFE 4-es elosztó kapcsolóval, 3 m, IP44-es védelem, alumínium ház, csíptetővel, beltérben is használható, H07RN-F 3G1,5 mm2 kábel</t>
        </is>
      </c>
      <c r="C785" s="1" t="n">
        <v>20890.0</v>
      </c>
      <c r="D785" s="7" t="n">
        <f>HYPERLINK("https://www.somogyi.hu/product/stanley-sxecch2lafe-4-es-eloszto-kapcsoloval-3-m-ip44-es-vedelem-aluminium-haz-csiptetovel-belterben-is-hasznalhato-h07rn-f-3g1-5-mm2-kabel-sxecch2lafe-16683","https://www.somogyi.hu/product/stanley-sxecch2lafe-4-es-eloszto-kapcsoloval-3-m-ip44-es-vedelem-aluminium-haz-csiptetovel-belterben-is-hasznalhato-h07rn-f-3g1-5-mm2-kabel-sxecch2lafe-16683")</f>
        <v>0.0</v>
      </c>
      <c r="E785" s="7" t="n">
        <f>HYPERLINK("https://www.somogyi.hu/data/img/product_main_images/small/16683.jpg","https://www.somogyi.hu/data/img/product_main_images/small/16683.jpg")</f>
        <v>0.0</v>
      </c>
      <c r="F785" s="2" t="inlineStr">
        <is>
          <t>8719322270924</t>
        </is>
      </c>
      <c r="G785" s="4" t="inlineStr">
        <is>
          <t>A STANLEY 4-es hálózati elosztó kapcsolóval, csiptetős kivitelben készült, így asztallapra vagy létrára is csiptethető, ezzel is megkönnyítve a használatot. A STANLEY hálózati elosztó alumínium háza masszív és robusztus kialakításának köszönhetően hosszú élettartamú lesz akár az építőiparban vagy otthoni alkalmazás során. Elsősorban szakembereknek ajánljuk, rendszeres használat mellett is. IP 44-es védelemmel ellátott.
A STANLEY prémium minőségű termékei kiváló anyagfelhasználással készültek, strapabíró és széles körű funkciókkal, a biztonságos használatot előtérbe helyezve. 
Élettartam garancia!</t>
        </is>
      </c>
    </row>
    <row r="786">
      <c r="A786" s="3" t="inlineStr">
        <is>
          <t>SXECCM2FESE</t>
        </is>
      </c>
      <c r="B786" s="2" t="inlineStr">
        <is>
          <t>STANLEY SXECCM2FESE kültéri fém kábeldob, 25 m, IP44-es védelem, kábelvezető, masszív fém dob és láb, H07RN-F 3G2,5 mm2 kábel, max. 3000 W</t>
        </is>
      </c>
      <c r="C786" s="1" t="n">
        <v>56990.0</v>
      </c>
      <c r="D786" s="7" t="n">
        <f>HYPERLINK("https://www.somogyi.hu/product/stanley-sxeccm2fese-kulteri-fem-kabeldob-25-m-ip44-es-vedelem-kabelvezeto-massziv-fem-dob-es-lab-h07rn-f-3g2-5-mm2-kabel-max-3000-w-sxeccm2fese-17042","https://www.somogyi.hu/product/stanley-sxeccm2fese-kulteri-fem-kabeldob-25-m-ip44-es-vedelem-kabelvezeto-massziv-fem-dob-es-lab-h07rn-f-3g2-5-mm2-kabel-max-3000-w-sxeccm2fese-17042")</f>
        <v>0.0</v>
      </c>
      <c r="E786" s="7" t="n">
        <f>HYPERLINK("https://www.somogyi.hu/data/img/product_main_images/small/17042.jpg","https://www.somogyi.hu/data/img/product_main_images/small/17042.jpg")</f>
        <v>0.0</v>
      </c>
      <c r="F786" s="2" t="inlineStr">
        <is>
          <t>8719322270627</t>
        </is>
      </c>
      <c r="G786" s="4" t="inlineStr">
        <is>
          <t>A STANLEY Kültéri fém kábeldob masszív és robusztus kialakításának köszönhetően hosszú élettartamú lesz akár az építőiparban vagy otthoni alkalmazás során. Elsősorban szakembereknek ajánljuk, rendszeres használat mellett is. 
Beépített kábelvezetővel és kábel fékezővel ellátott. A kábeldob közepén az aljzatok nem fordulnak el. A gumi vezeték hossza 25 m. IP 44-es védelemmel ellátott.
A STANLEY prémium minőségű termékei kiváló anyagfelhasználással készültek, strapabíró és széles körű funkciókkal, a biztonságos használatot előtérbe helyezve. 
Élettartam garancia!</t>
        </is>
      </c>
    </row>
    <row r="787">
      <c r="A787" s="6" t="inlineStr">
        <is>
          <t xml:space="preserve">   Villamosság / Kábeldob</t>
        </is>
      </c>
      <c r="B787" s="6" t="inlineStr">
        <is>
          <t/>
        </is>
      </c>
      <c r="C787" s="6" t="inlineStr">
        <is>
          <t/>
        </is>
      </c>
      <c r="D787" s="6" t="inlineStr">
        <is>
          <t/>
        </is>
      </c>
      <c r="E787" s="6" t="inlineStr">
        <is>
          <t/>
        </is>
      </c>
      <c r="F787" s="6" t="inlineStr">
        <is>
          <t/>
        </is>
      </c>
      <c r="G787" s="6" t="inlineStr">
        <is>
          <t/>
        </is>
      </c>
    </row>
    <row r="788">
      <c r="A788" s="3" t="inlineStr">
        <is>
          <t>HJR 4-25/1,5</t>
        </is>
      </c>
      <c r="B788" s="2" t="inlineStr">
        <is>
          <t>Home HJR 4-25/1,5 kábeldob, 25 m, IP20 kivitel, fém talp, H05VV-F 3G1,5 mm2 kábel, max. 3000 W, védőkapcsoló, 4 védőérintkezős aljzat</t>
        </is>
      </c>
      <c r="C788" s="1" t="n">
        <v>21490.0</v>
      </c>
      <c r="D788" s="7" t="n">
        <f>HYPERLINK("https://www.somogyi.hu/product/home-hjr-4-25-1-5-kabeldob-25-m-ip20-kivitel-fem-talp-h05vv-f-3g1-5-mm2-kabel-max-3000-w-vedokapcsolo-4-vedoerintkezos-aljzat-hjr-4-25-1-5-13370","https://www.somogyi.hu/product/home-hjr-4-25-1-5-kabeldob-25-m-ip20-kivitel-fem-talp-h05vv-f-3g1-5-mm2-kabel-max-3000-w-vedokapcsolo-4-vedoerintkezos-aljzat-hjr-4-25-1-5-13370")</f>
        <v>0.0</v>
      </c>
      <c r="E788" s="7" t="n">
        <f>HYPERLINK("https://www.somogyi.hu/data/img/product_main_images/small/13370.jpg","https://www.somogyi.hu/data/img/product_main_images/small/13370.jpg")</f>
        <v>0.0</v>
      </c>
      <c r="F788" s="2" t="inlineStr">
        <is>
          <t>5999084914561</t>
        </is>
      </c>
      <c r="G788" s="4" t="inlineStr">
        <is>
          <t>A HJR 4-25/1,5 kábeldob strapabíró kialakításának köszönhetően hosszú távú megoldás lehet a ház körül és otthonában.
A termék masszív fém talppal és 25 m hosszú H05VV-F 3G1,5 mm2 kábellel ellátott, melynek a végén pipa alakú dugó található. Az IP 20 védelem és a túlmelegedés elleni védőkapcsoló további védelmet nyújt használat során.
A kábeldob 4 db 250 V-os védőérintkezős aljzattal ellátott. 
Feltekerve maximum 1000 W-ig, letekerve pedig 3000 W-ig terhelhető.</t>
        </is>
      </c>
    </row>
    <row r="789">
      <c r="A789" s="3" t="inlineStr">
        <is>
          <t>HJR 10-50</t>
        </is>
      </c>
      <c r="B789" s="2" t="inlineStr">
        <is>
          <t>Home HJR 10-50 kábeldob, 50 m, fém talp, IP44-es védelem, H07RN-F 3G1,5 mm2 kábel gumi kábel, max. 3000 W, 4 aljzat takarófedéllel, védőkapcsoló</t>
        </is>
      </c>
      <c r="C789" s="1" t="n">
        <v>48690.0</v>
      </c>
      <c r="D789" s="7" t="n">
        <f>HYPERLINK("https://www.somogyi.hu/product/home-hjr-10-50-kabeldob-50-m-fem-talp-ip44-es-vedelem-h07rn-f-3g1-5-mm2-kabel-gumi-kabel-max-3000-w-4-aljzat-takarofedellel-vedokapcsolo-hjr-10-50-4521","https://www.somogyi.hu/product/home-hjr-10-50-kabeldob-50-m-fem-talp-ip44-es-vedelem-h07rn-f-3g1-5-mm2-kabel-gumi-kabel-max-3000-w-4-aljzat-takarofedellel-vedokapcsolo-hjr-10-50-4521")</f>
        <v>0.0</v>
      </c>
      <c r="E789" s="7" t="n">
        <f>HYPERLINK("https://www.somogyi.hu/data/img/product_main_images/small/04521.jpg","https://www.somogyi.hu/data/img/product_main_images/small/04521.jpg")</f>
        <v>0.0</v>
      </c>
      <c r="F789" s="2" t="inlineStr">
        <is>
          <t>5998312739839</t>
        </is>
      </c>
      <c r="G789" s="4" t="inlineStr">
        <is>
          <t>A HJR 10-50 kábeldob strapabíró kialakításának köszönhetően hosszú távú megoldás lehet a ház körül és otthonában.
Az IP 44 védelem által kültéren is biztonsággal használható. A túlmelegedés elleni védőkapcsoló további védelmet nyújt használat során. A termék masszív fém talppal és 50 m hosszú H07RN-F 3G1,5mm2 gumi kábellel ellátott. 
A kábeldob 4 db 250 V-os védőérintkezős aljzattal ellátott, melyet takarófedél véd. 
Feltekerve maximum 1000 W-ig, letekerve pedig 3000 W-ig terhelhető.</t>
        </is>
      </c>
    </row>
    <row r="790">
      <c r="A790" s="3" t="inlineStr">
        <is>
          <t>HJR 400-25</t>
        </is>
      </c>
      <c r="B790" s="2" t="inlineStr">
        <is>
          <t>Home HJR 400-25 kültéri ipari kábeldob, 25 m, fém talp, IP44-es védelem, H07RN-F 5G2,5 mm2 gumi kábel, 2 db 2P+E és 1 db 3P+N+E aljzattal, védőkapcsoló</t>
        </is>
      </c>
      <c r="C790" s="1" t="n">
        <v>57790.0</v>
      </c>
      <c r="D790" s="7" t="n">
        <f>HYPERLINK("https://www.somogyi.hu/product/home-hjr-400-25-kulteri-ipari-kabeldob-25-m-fem-talp-ip44-es-vedelem-h07rn-f-5g2-5-mm2-gumi-kabel-2-db-2p-e-es-1-db-3p-n-e-aljzattal-vedokapcsolo-hjr-400-25-15707","https://www.somogyi.hu/product/home-hjr-400-25-kulteri-ipari-kabeldob-25-m-fem-talp-ip44-es-vedelem-h07rn-f-5g2-5-mm2-gumi-kabel-2-db-2p-e-es-1-db-3p-n-e-aljzattal-vedokapcsolo-hjr-400-25-15707")</f>
        <v>0.0</v>
      </c>
      <c r="E790" s="7" t="n">
        <f>HYPERLINK("https://www.somogyi.hu/data/img/product_main_images/small/15707.jpg","https://www.somogyi.hu/data/img/product_main_images/small/15707.jpg")</f>
        <v>0.0</v>
      </c>
      <c r="F790" s="2" t="inlineStr">
        <is>
          <t>5999084937416</t>
        </is>
      </c>
      <c r="G790" s="4" t="inlineStr">
        <is>
          <t>A HJR 400-25 Kültéri ipari kábeldob strapabíró kialakításának köszönhetően jól alkalmazható építőipari munkálatokhoz, ahol nagyobb áramelletásra van szükség. 
Az IP 44 védelem által kültéren is biztonsággal használható. A túlmelegedés elleni védőkapcsoló további védelmet nyújt használat során. A termék masszív fém talppal és fogantyúval van ellátva, valamint 25 m hosszú H07RN-F 5G2,5 mm2 gumi kábellel szerelt. 
A kábeldob 2 db 2P+E aljzattal és 1 db 3P+N+E aljzattal felszerelt. 
A 2P+E aljzat feltekerve maximum 1200 W, letekerve 3000 W teljesítményt bírnak el a 230 V-os aljzatok.
A 3P+N+E aljzat feltekerve maximum 3600 W, letekerve 9000 W-ot bír el a 400 V-os aljzat.
Elsősorban szakembereknek ajánljuk építőiparba, de akár otthoni felhasználásra is alkalmas.</t>
        </is>
      </c>
    </row>
    <row r="791">
      <c r="A791" s="3" t="inlineStr">
        <is>
          <t>HJR 10-40/1,0</t>
        </is>
      </c>
      <c r="B791" s="2" t="inlineStr">
        <is>
          <t>Home HJR 10-40/1,0 kábeldob, 40 m, fém talp, IP44, H05RR-F 3G 1,0 mm2 gumi kábel, max. 2300 W, 4 aljzat takarófedéllel, védőkapcsoló</t>
        </is>
      </c>
      <c r="C791" s="1" t="n">
        <v>20790.0</v>
      </c>
      <c r="D791" s="7" t="n">
        <f>HYPERLINK("https://www.somogyi.hu/product/home-hjr-10-40-1-0-kabeldob-40-m-fem-talp-ip44-h05rr-f-3g-1-0-mm2-gumi-kabel-max-2300-w-4-aljzat-takarofedellel-vedokapcsolo-hjr-10-40-1-0-18305","https://www.somogyi.hu/product/home-hjr-10-40-1-0-kabeldob-40-m-fem-talp-ip44-h05rr-f-3g-1-0-mm2-gumi-kabel-max-2300-w-4-aljzat-takarofedellel-vedokapcsolo-hjr-10-40-1-0-18305")</f>
        <v>0.0</v>
      </c>
      <c r="E791" s="7" t="n">
        <f>HYPERLINK("https://www.somogyi.hu/data/img/product_main_images/small/18305.jpg","https://www.somogyi.hu/data/img/product_main_images/small/18305.jpg")</f>
        <v>0.0</v>
      </c>
      <c r="F791" s="2" t="inlineStr">
        <is>
          <t>5999084963279</t>
        </is>
      </c>
      <c r="G791" s="4" t="inlineStr">
        <is>
          <t>Egy olyan kábeldobot keres, amely kiállja az időjárás viszontagságait és a kültéri munkák igénybevételét is? A Home HJR 10-40/1,0 kábeldob a tökéletes választás az Ön számára!
Ez a kábeldob a H05RN-F, 3G 1.0 mm2 kábellel és IP44 kültéri védettséggel rendelkezik, ami biztosítja, hogy akár a legkeményebb kültéri körülmények között is megbízhatóan használható legyen. A 40 méter hosszú vezetékkel ellátott kábeldob lehetővé teszi, hogy a munkahelyén vagy otthonában nagy távolságokat is könnyedén áthidaljon.
A kábeldob négy védőérintkezős aljzattal rendelkezik, mindegyik takarófedéllel ellátva, ami további védelmet nyújt az elemekkel szemben. A visszaállító gomb segítségével egyszerűen törölheti a kioldott hővédelmet, biztosítva a készülék újbóli biztonságos használatát.
A kábeldob használata rugalmas: feltekerve 250 V∼ / max. 900 W, letekerve pedig 250 V∼ / max. 2300 W teljesítményre képes. A masszív fém talp és a tartós gumi kábel tovább növeli a termék élettartamát és megbízhatóságát.
Ne hagyja ki ezt a lehetőséget! A Home HJR 10-40/1,0 kábeldob az ideális segítőtárs minden kültéri és beltéri projektjéhez. Szerezze be még ma, és élvezze a megbízható teljesítményt és a kényelmet!</t>
        </is>
      </c>
    </row>
    <row r="792">
      <c r="A792" s="3" t="inlineStr">
        <is>
          <t>HJR 10-15</t>
        </is>
      </c>
      <c r="B792" s="2" t="inlineStr">
        <is>
          <t>Home HJR 10-15 kábeldob, 15 m, műanyag tartóval, IP44-es védelem, H05RR-F 3G1,0 mm2 gumírozott kábel, 4 aljzat takarófedéllel, max. 2300 W, kültérre is</t>
        </is>
      </c>
      <c r="C792" s="1" t="n">
        <v>11890.0</v>
      </c>
      <c r="D792" s="7" t="n">
        <f>HYPERLINK("https://www.somogyi.hu/product/home-hjr-10-15-kabeldob-15-m-muanyag-tartoval-ip44-es-vedelem-h05rr-f-3g1-0-mm2-gumirozott-kabel-4-aljzat-takarofedellel-max-2300-w-kulterre-is-hjr-10-15-8935","https://www.somogyi.hu/product/home-hjr-10-15-kabeldob-15-m-muanyag-tartoval-ip44-es-vedelem-h05rr-f-3g1-0-mm2-gumirozott-kabel-4-aljzat-takarofedellel-max-2300-w-kulterre-is-hjr-10-15-8935")</f>
        <v>0.0</v>
      </c>
      <c r="E792" s="7" t="n">
        <f>HYPERLINK("https://www.somogyi.hu/data/img/product_main_images/small/08935.jpg","https://www.somogyi.hu/data/img/product_main_images/small/08935.jpg")</f>
        <v>0.0</v>
      </c>
      <c r="F792" s="2" t="inlineStr">
        <is>
          <t>5998312778159</t>
        </is>
      </c>
      <c r="G792" s="4" t="inlineStr">
        <is>
          <t>A HJR 10-15 kábeldob műanyag tartóval és komfortos markolattal ellátott, így igazán könnyű használatot garantál. 
Az IP 44 védelem által kültéren is biztonsággal használható. A túlmelegedés elleni védőkapcsoló további védelmet nyújt használat során.
A kábeldob 4 db 250 V-os védőérintkezős aljzattal ellátott, melyet takarófedél véd. A 15 m kábel H05RR-F 3G1,0 mm2 típusú. 
Feltekerve maximum 1000 W-ig, letekerve pedig 2300 W-ig terhelhető. 
A HJR 10-15 kábeldob kis helyen is elfér és akár hölgyek is könnyedén használhatják.</t>
        </is>
      </c>
    </row>
    <row r="793">
      <c r="A793" s="3" t="inlineStr">
        <is>
          <t>HJR 3-20</t>
        </is>
      </c>
      <c r="B793" s="2" t="inlineStr">
        <is>
          <t>Home HJR 3-20 kábeldob, 20 m, IP20 kivitel, műanyag tartó, H05VV-F 3G1,0 mm2 kábel, max. 2300 W, védőkapcsoló, 4 védőérintkezős aljzat</t>
        </is>
      </c>
      <c r="C793" s="1" t="n">
        <v>14090.0</v>
      </c>
      <c r="D793" s="7" t="n">
        <f>HYPERLINK("https://www.somogyi.hu/product/home-hjr-3-20-kabeldob-20-m-ip20-kivitel-muanyag-tarto-h05vv-f-3g1-0-mm2-kabel-max-2300-w-vedokapcsolo-4-vedoerintkezos-aljzat-hjr-3-20-3213","https://www.somogyi.hu/product/home-hjr-3-20-kabeldob-20-m-ip20-kivitel-muanyag-tarto-h05vv-f-3g1-0-mm2-kabel-max-2300-w-vedokapcsolo-4-vedoerintkezos-aljzat-hjr-3-20-3213")</f>
        <v>0.0</v>
      </c>
      <c r="E793" s="7" t="n">
        <f>HYPERLINK("https://www.somogyi.hu/data/img/product_main_images/small/03213.jpg","https://www.somogyi.hu/data/img/product_main_images/small/03213.jpg")</f>
        <v>0.0</v>
      </c>
      <c r="F793" s="2" t="inlineStr">
        <is>
          <t>5998312735374</t>
        </is>
      </c>
      <c r="G793" s="4" t="inlineStr">
        <is>
          <t>Önnek is ismerős az a probléma, amikor a hosszabbító vezeték sosem elég hosszú? A Home HJR 3-20 kábeldobbal ez többé nem gond! Ez a kábeldob kiválóan alkalmas hosszabbításra, legyen szó otthoni vagy műhelybeli munkákról.
A H05VV-F 3G1,0 mm2 típusú kábellel rendelkező Home HJR 3-20 kábeldob az IP20 védettségének köszönhetően biztonságos használatot nyújt belső terekben. Akár 1000 W teljesítményt is képes kezelni feltekerve, míg letekerve ez a szám 2300 W-ra növekszik. A pipa alakú dugó és négy védőérintkezős aljzat kényelmes csatlakozást biztosít, míg a visszaállító gomb segítségével egyszerűen helyreállítható az aktivált hővédelem. A műanyag tartó pedig megkönnyíti a tárolást és a hordozást.
Válassza a Home HJR 3-20 kábeldobot, és élvezze a megbízható és hosszú távú energiaellátást ahol csak szükséges!</t>
        </is>
      </c>
    </row>
    <row r="794">
      <c r="A794" s="3" t="inlineStr">
        <is>
          <t>HJR 10-25/2,5</t>
        </is>
      </c>
      <c r="B794" s="2" t="inlineStr">
        <is>
          <t>Home HJR 10-25/2,5 kábeldob, 25 m, fém talp, IP44, H05RR-F 3G 2,5 mm2 gumi kábel, max. 3600 W, 4 aljzat takarófedéllel, védőkapcsoló</t>
        </is>
      </c>
      <c r="C794" s="1" t="n">
        <v>38390.0</v>
      </c>
      <c r="D794" s="7" t="n">
        <f>HYPERLINK("https://www.somogyi.hu/product/home-hjr-10-25-2-5-kabeldob-25-m-fem-talp-ip44-h05rr-f-3g-2-5-mm2-gumi-kabel-max-3600-w-4-aljzat-takarofedellel-vedokapcsolo-hjr-10-25-2-5-18306","https://www.somogyi.hu/product/home-hjr-10-25-2-5-kabeldob-25-m-fem-talp-ip44-h05rr-f-3g-2-5-mm2-gumi-kabel-max-3600-w-4-aljzat-takarofedellel-vedokapcsolo-hjr-10-25-2-5-18306")</f>
        <v>0.0</v>
      </c>
      <c r="E794" s="7" t="n">
        <f>HYPERLINK("https://www.somogyi.hu/data/img/product_main_images/small/18306.jpg","https://www.somogyi.hu/data/img/product_main_images/small/18306.jpg")</f>
        <v>0.0</v>
      </c>
      <c r="F794" s="2" t="inlineStr">
        <is>
          <t>5999084963286</t>
        </is>
      </c>
      <c r="G794" s="4" t="inlineStr">
        <is>
          <t>Egy olyan kábeldobot keres, amely kiállja az időjárás viszontagságait és a kültéri munkák igénybevételét is? A Home HJR 10-25/2,5 kábeldob a tökéletes választás az Ön számára!
Ez a kábeldob a H05RN-F, 3G 2.5 mm2 kábellel és IP44 kültéri védettséggel rendelkezik, ami biztosítja, hogy akár a legkeményebb kültéri körülmények között is megbízhatóan használható legyen. A 25 méter hosszú vezetékkel ellátott kábeldob lehetővé teszi, hogy a munkahelyén vagy otthonában nagy távolságokat is könnyedén áthidaljon.
A kábeldob négy védőérintkezős aljzattal rendelkezik, mindegyik takarófedéllel ellátva, ami további védelmet nyújt az elemekkel szemben. A visszaállító gomb segítségével egyszerűen törölheti a kioldott hővédelmet, biztosítva a készülék újbóli biztonságos használatát.
A kábeldob használata rugalmas: feltekerve 250 V∼ / max. 1300 W, letekerve pedig 250 V∼ / max. 3600 W teljesítményre képes. A masszív fém talp és a tartós gumi kábel tovább növeli a termék élettartamát és megbízhatóságát.
Ne hagyja ki ezt a lehetőséget! A Home HJR 10-25/2,5 kábeldob az ideális segítőtárs minden kültéri és beltéri projektjéhez. Szerezze be még ma, és élvezze a megbízható teljesítményt és a kényelmet!</t>
        </is>
      </c>
    </row>
    <row r="795">
      <c r="A795" s="3" t="inlineStr">
        <is>
          <t>HJR 25-3</t>
        </is>
      </c>
      <c r="B795" s="2" t="inlineStr">
        <is>
          <t>Home HJR 25-3 kábeldob, 22 + 3 m,  IP44-es védelem, H05RR-F 3G1,5 mm2 gumírozott kábel,  védőkapcsoló, max. 3500 W, fém talp, kültérre is</t>
        </is>
      </c>
      <c r="C795" s="1" t="n">
        <v>20990.0</v>
      </c>
      <c r="D795" s="7" t="n">
        <f>HYPERLINK("https://www.somogyi.hu/product/home-hjr-25-3-kabeldob-22-3-m-ip44-es-vedelem-h05rr-f-3g1-5-mm2-gumirozott-kabel-vedokapcsolo-max-3500-w-fem-talp-kulterre-is-hjr-25-3-15876","https://www.somogyi.hu/product/home-hjr-25-3-kabeldob-22-3-m-ip44-es-vedelem-h05rr-f-3g1-5-mm2-gumirozott-kabel-vedokapcsolo-max-3500-w-fem-talp-kulterre-is-hjr-25-3-15876")</f>
        <v>0.0</v>
      </c>
      <c r="E795" s="7" t="n">
        <f>HYPERLINK("https://www.somogyi.hu/data/img/product_main_images/small/15876.jpg","https://www.somogyi.hu/data/img/product_main_images/small/15876.jpg")</f>
        <v>0.0</v>
      </c>
      <c r="F795" s="2" t="inlineStr">
        <is>
          <t>5999084939106</t>
        </is>
      </c>
      <c r="G795" s="4" t="inlineStr">
        <is>
          <t>A HJR 25-3 kábeldob különleges kialakításának köszönhetően nem szükséges a működtetett berendezés közelében használni, ezzel is védheti a készülékeit. A kábeldob 22 m gumi kábellel ellátott, aminek a végén lengő aljzat található. A külső kicsi felcsévélő dobon 3 m vezeték található, ami egyenes dugós. 
Az IP 44 védelem által kültéren is biztonsággal használható. A túlmelegedés elleni védőkapcsoló további védelmet nyújt használat során. A termék masszív fém talppal és 22 m hosszú H05RR-FG1,5 mm2 gumi kábellel ellátott. 
Feltekerve maximum 1000 W-ig, letekerve pedig 3500 W-ig terhelhető.</t>
        </is>
      </c>
    </row>
    <row r="796">
      <c r="A796" s="3" t="inlineStr">
        <is>
          <t>HJRM 10-25</t>
        </is>
      </c>
      <c r="B796" s="2" t="inlineStr">
        <is>
          <t>Home HJRM 10-25 fém kábeldob, 25 m, fém talp és dob, IP44-es védelem, H07RN-F 3G1,5 mm2 gumi kábel, max. 3000 W, védőkapcsoló,  fix, nem forgó aljzatokkal</t>
        </is>
      </c>
      <c r="C796" s="1" t="n">
        <v>30490.0</v>
      </c>
      <c r="D796" s="7" t="n">
        <f>HYPERLINK("https://www.somogyi.hu/product/home-hjrm-10-25-fem-kabeldob-25-m-fem-talp-es-dob-ip44-es-vedelem-h07rn-f-3g1-5-mm2-gumi-kabel-max-3000-w-vedokapcsolo-fix-nem-forgo-aljzatokkal-hjrm-10-25-16268","https://www.somogyi.hu/product/home-hjrm-10-25-fem-kabeldob-25-m-fem-talp-es-dob-ip44-es-vedelem-h07rn-f-3g1-5-mm2-gumi-kabel-max-3000-w-vedokapcsolo-fix-nem-forgo-aljzatokkal-hjrm-10-25-16268")</f>
        <v>0.0</v>
      </c>
      <c r="E796" s="7" t="n">
        <f>HYPERLINK("https://www.somogyi.hu/data/img/product_main_images/small/16268.jpg","https://www.somogyi.hu/data/img/product_main_images/small/16268.jpg")</f>
        <v>0.0</v>
      </c>
      <c r="F796" s="2" t="inlineStr">
        <is>
          <t>5999084943004</t>
        </is>
      </c>
      <c r="G796" s="4" t="inlineStr">
        <is>
          <t>Képzelje el, hogy milyen könnyű lenne a munka, ha nem kellene többé egyenként hosszabbító után nyúlnia minden egyes elektromos eszközhöz. A Home HJRM 10-25 fém kábeldob a megbízható segítője lesz minden házi és professzionális projektben.
Ez a robusztus kábeldob 25 méter hosszú, kiváló minőségű H07RN-F 3G1,5 mm2 kábellel rendelkezik, amely 250 V~ / max. 13 A terhelhetőséget biztosít. A fix, nem forgó aljzatokat a túlmelegedés elleni védőkapcsoló teszi még biztonságosabbá, így nyugodtan dolgozhat hosszabb ideig is anélkül, hogy a túlmelegedéstől kellene tartania.
Amennyiben a túlmelegedés elleni védelem aktiválódik, egyszerűen áramtalanítsa a készüléket, hagyja lehűlni, majd a visszaállító gomb megnyomásával újra használatba veheti. Válassza a Home HJRM 10-25 fém kábeldobot, és élvezze a kényelmet és biztonságot, amit nyújt!</t>
        </is>
      </c>
    </row>
    <row r="797">
      <c r="A797" s="3" t="inlineStr">
        <is>
          <t>HJR 3-10</t>
        </is>
      </c>
      <c r="B797" s="2" t="inlineStr">
        <is>
          <t>Home HJR 3-10 kábeldob, 10 m, IP20 kivitel, műanyag tartó, H05VV-F 3G1,0 mm2 kábel, max. 2300 W, védőkapcsoló, 4 védőérintkezős aljzat</t>
        </is>
      </c>
      <c r="C797" s="1" t="n">
        <v>8090.0</v>
      </c>
      <c r="D797" s="7" t="n">
        <f>HYPERLINK("https://www.somogyi.hu/product/home-hjr-3-10-kabeldob-10-m-ip20-kivitel-muanyag-tarto-h05vv-f-3g1-0-mm2-kabel-max-2300-w-vedokapcsolo-4-vedoerintkezos-aljzat-hjr-3-10-4286","https://www.somogyi.hu/product/home-hjr-3-10-kabeldob-10-m-ip20-kivitel-muanyag-tarto-h05vv-f-3g1-0-mm2-kabel-max-2300-w-vedokapcsolo-4-vedoerintkezos-aljzat-hjr-3-10-4286")</f>
        <v>0.0</v>
      </c>
      <c r="E797" s="7" t="n">
        <f>HYPERLINK("https://www.somogyi.hu/data/img/product_main_images/small/04286.jpg","https://www.somogyi.hu/data/img/product_main_images/small/04286.jpg")</f>
        <v>0.0</v>
      </c>
      <c r="F797" s="2" t="inlineStr">
        <is>
          <t>5998312709115</t>
        </is>
      </c>
      <c r="G797" s="4" t="inlineStr">
        <is>
          <t>A HJR 3-10 kábeldob egy strapabíró műanyag tartóval lett ellátva, amelyhez 10 méter hosszú H05VV-F 3G1,0 mm²-es IP20 kivitelben készült kábel tartozik.
A termék előnye, hogy akár feltekerve is használható. A HJR 3-10 kábeldob pipa alakú dugóval és négy védőérintkezős aljzattal rendelkezik, valamint visszaállító gombbal a kioldott hővédelem törléséhez. A termék teljesítménye: 2300 W – letekerve, 1000 W - feltekerve. Válassza a minőségi termékeket és rendeljen webáruházunkból!</t>
        </is>
      </c>
    </row>
    <row r="798">
      <c r="A798" s="3" t="inlineStr">
        <is>
          <t>HJRM 10-50</t>
        </is>
      </c>
      <c r="B798" s="2" t="inlineStr">
        <is>
          <t>Home HJRM 10-50 fém kábeldob, 50 m, fém talp és dob, IP44-es védelem, H07RN-F 3G1,5 mm2 gumi kábel, max. 3000 W, védőkapcsoló,  fix, nem forgó aljzatokkal</t>
        </is>
      </c>
      <c r="C798" s="1" t="n">
        <v>55390.0</v>
      </c>
      <c r="D798" s="7" t="n">
        <f>HYPERLINK("https://www.somogyi.hu/product/home-hjrm-10-50-fem-kabeldob-50-m-fem-talp-es-dob-ip44-es-vedelem-h07rn-f-3g1-5-mm2-gumi-kabel-max-3000-w-vedokapcsolo-fix-nem-forgo-aljzatokkal-hjrm-10-50-16269","https://www.somogyi.hu/product/home-hjrm-10-50-fem-kabeldob-50-m-fem-talp-es-dob-ip44-es-vedelem-h07rn-f-3g1-5-mm2-gumi-kabel-max-3000-w-vedokapcsolo-fix-nem-forgo-aljzatokkal-hjrm-10-50-16269")</f>
        <v>0.0</v>
      </c>
      <c r="E798" s="7" t="n">
        <f>HYPERLINK("https://www.somogyi.hu/data/img/product_main_images/small/16269.jpg","https://www.somogyi.hu/data/img/product_main_images/small/16269.jpg")</f>
        <v>0.0</v>
      </c>
      <c r="F798" s="2" t="inlineStr">
        <is>
          <t>5999084943011</t>
        </is>
      </c>
      <c r="G798" s="4" t="inlineStr">
        <is>
          <t>A HJRM 10-50 Kültéri kábeldob strapabíró kialakításának köszönhetően hosszú távú megoldás lehet a ház körül és otthonában. 
Az IP 44 védelem által kültéren is biztonsággal használható. A túlmelegedés elleni védőkapcsoló további védelmet nyújt használat során. A termék masszív fém talppal és dobbal van ellátva, valamint 50 m hosszú H07RN-F 3G1,5 mm2 gumi kábellel szerelt.
A kábeldob 4 db 250 V-os aljzattal ellátott, melyet takarófedél véd. 
Feltekerve maximum 1000 W-ig, letekerve pedig 3000 W-ig terhelhető. 
Válasszon strapabíró kábeldobot, amely hosszú éveken át hasznos segítsége lesz.</t>
        </is>
      </c>
    </row>
    <row r="799">
      <c r="A799" s="3" t="inlineStr">
        <is>
          <t>HJR 4-40</t>
        </is>
      </c>
      <c r="B799" s="2" t="inlineStr">
        <is>
          <t>Home HJR 4-40 kábeldob, 40 m, IP20 kivitel, fém talp, H05VV-F 3G1,0 mm2 kábel, max. 2300 W, védőkapcsoló, 4 védőérintkezős aljzat</t>
        </is>
      </c>
      <c r="C799" s="1" t="n">
        <v>20590.0</v>
      </c>
      <c r="D799" s="7" t="n">
        <f>HYPERLINK("https://www.somogyi.hu/product/home-hjr-4-40-kabeldob-40-m-ip20-kivitel-fem-talp-h05vv-f-3g1-0-mm2-kabel-max-2300-w-vedokapcsolo-4-vedoerintkezos-aljzat-hjr-4-40-4290","https://www.somogyi.hu/product/home-hjr-4-40-kabeldob-40-m-ip20-kivitel-fem-talp-h05vv-f-3g1-0-mm2-kabel-max-2300-w-vedokapcsolo-4-vedoerintkezos-aljzat-hjr-4-40-4290")</f>
        <v>0.0</v>
      </c>
      <c r="E799" s="7" t="n">
        <f>HYPERLINK("https://www.somogyi.hu/data/img/product_main_images/small/04290.jpg","https://www.somogyi.hu/data/img/product_main_images/small/04290.jpg")</f>
        <v>0.0</v>
      </c>
      <c r="F799" s="2" t="inlineStr">
        <is>
          <t>5998312737538</t>
        </is>
      </c>
      <c r="G799" s="4" t="inlineStr">
        <is>
          <t>Gondolta volna, hogy egy kábeldob lehet a munkahelyi hatékonyság kulcsa? A Home HJR 4-40 kábeldob nem csupán praktikus, hanem biztonságos és megbízható megoldást kínál hosszabbítók terén.
Fém talpának köszönhetően stabilan áll, míg a 40 méter hosszú H05VV-F 3G1,0 mm2 kábel biztosítja az elektromos eszközök zavartalan energiaellátását, legyen szó akár a kertben, műhelyben való vagy otthoni használatról. A kábeldob feltekerve akár 900 W, letekerve pedig 2300 W teljesítményre képes, így a nagyobb igényű felhasználások során is megbízható társ lesz.
A pipa alakú dugó és a négy védőérintkezős aljzat a csatlakoztatást egyszerűvé és gyorssá teszi, a visszaállító gomb pedig lehetővé teszi a hővédelem egyszerű kezelését. Az IP20 védettségű Home HJR 4-40 kábeldob nem csak a munkát teszi hatékonyabbá, hanem a biztonságot is növeli. Válassza a Home HJR 4-40 kábeldobot, és szabaduljon meg a rengeteg zavaró hosszabbítótól!</t>
        </is>
      </c>
    </row>
    <row r="800">
      <c r="A800" s="3" t="inlineStr">
        <is>
          <t>HJR 24-30</t>
        </is>
      </c>
      <c r="B800" s="2" t="inlineStr">
        <is>
          <t>Home HJR 24-30 kábeldob, 27 + 3 m, IP20 kivitel, H05VV-F 3G1,0 mm2 kábel, védőkapcsoló, max. 2300 W, fém talp</t>
        </is>
      </c>
      <c r="C800" s="1" t="n">
        <v>17190.0</v>
      </c>
      <c r="D800" s="7" t="n">
        <f>HYPERLINK("https://www.somogyi.hu/product/home-hjr-24-30-kabeldob-27-3-m-ip20-kivitel-h05vv-f-3g1-0-mm2-kabel-vedokapcsolo-max-2300-w-fem-talp-hjr-24-30-4955","https://www.somogyi.hu/product/home-hjr-24-30-kabeldob-27-3-m-ip20-kivitel-h05vv-f-3g1-0-mm2-kabel-vedokapcsolo-max-2300-w-fem-talp-hjr-24-30-4955")</f>
        <v>0.0</v>
      </c>
      <c r="E800" s="7" t="n">
        <f>HYPERLINK("https://www.somogyi.hu/data/img/product_main_images/small/04955.jpg","https://www.somogyi.hu/data/img/product_main_images/small/04955.jpg")</f>
        <v>0.0</v>
      </c>
      <c r="F800" s="2" t="inlineStr">
        <is>
          <t>5998312743775</t>
        </is>
      </c>
      <c r="G800" s="4" t="inlineStr">
        <is>
          <t>Keres egy megbízható kábeldobot, ami minden munkához társulhat? A Home HJR 24-30 fém kábeldob nem hagy cserben, legyen szó bármilyen feladatról otthon vagy a munkahelyen.
Ez a kábeldob kiemelkedik az IP20 kivitelű, 27 + 3 méteres H05VV-F 3G1,0 mm2 kábelével, ami rugalmasságot biztosít használata során. Legyen szó feltekert vagy letekert állapotról, 900 W illetve 2300 W maximális terhelhetőséget garantál. A pipa alakú dugó és egyenes lengő aljzat praktikus kialakítása megkönnyíti a használatot, míg a visszaállító gomb segítségével egyszerűen semlegesítheti az aktivált hővédelemet. A dob fém talpa pedig stabil alapot nyújt minden körülmény között.
Válassza a Home HJR 24-30 fém kábeldobot, és bízza a hosszabbítás gondjait egy strapabíró eszközre! Biztonságos, hosszú távú megoldás az energiaellátásra, amely minden igényét kielégíti.</t>
        </is>
      </c>
    </row>
    <row r="801">
      <c r="A801" s="3" t="inlineStr">
        <is>
          <t>HJR 10-30</t>
        </is>
      </c>
      <c r="B801" s="2" t="inlineStr">
        <is>
          <t>Home HJR 10-30 kábeldob, 30 m, fém talp, IP44-es védelem, H07RN-F 3G1,5 mm2 kábel gumi kábel, max. 3000 W, 4 aljzat takarófedéllel, védőkapcsoló</t>
        </is>
      </c>
      <c r="C801" s="1" t="n">
        <v>31390.0</v>
      </c>
      <c r="D801" s="7" t="n">
        <f>HYPERLINK("https://www.somogyi.hu/product/home-hjr-10-30-kabeldob-30-m-fem-talp-ip44-es-vedelem-h07rn-f-3g1-5-mm2-kabel-gumi-kabel-max-3000-w-4-aljzat-takarofedellel-vedokapcsolo-hjr-10-30-4520","https://www.somogyi.hu/product/home-hjr-10-30-kabeldob-30-m-fem-talp-ip44-es-vedelem-h07rn-f-3g1-5-mm2-kabel-gumi-kabel-max-3000-w-4-aljzat-takarofedellel-vedokapcsolo-hjr-10-30-4520")</f>
        <v>0.0</v>
      </c>
      <c r="E801" s="7" t="n">
        <f>HYPERLINK("https://www.somogyi.hu/data/img/product_main_images/small/04520.jpg","https://www.somogyi.hu/data/img/product_main_images/small/04520.jpg")</f>
        <v>0.0</v>
      </c>
      <c r="F801" s="2" t="inlineStr">
        <is>
          <t>5998312739822</t>
        </is>
      </c>
      <c r="G801" s="4" t="inlineStr">
        <is>
          <t>Képzelje el, hogy milyen könnyű lenne a munka, ha nem kellene többé hosszabbító után nyúlnia külön-külön minden egyes elektromos eszközhöz. A Home HJR 10-30 fém talpas kábeldob a megbízható segítője lesz minden házi és professzionális projektben.
Ez a robusztus kábeldob 30 méter hosszú, kiváló minőségű H07RN-F 3G1,5 mm2 kábellel rendelkezik, amely 250 V~ / max. 13 A terhelhetőséget biztosít. A védőérintkezős aljzatok mindegyikét takarófedél védi. A kábeldob feltekert állapotban 1000 W-ig, letekert állapotban 3000 W-ig terhelhető.
Strapabíró kialakításának köszönhetően hosszú távú megoldás lehet a ház körül, és otthonában. Válassza a Home HJR 10-30 fém kábeldobot, és élvezze a kényelmet és biztonságot, amit nyújt!</t>
        </is>
      </c>
    </row>
    <row r="802">
      <c r="A802" s="3" t="inlineStr">
        <is>
          <t>HJR 10-25/1,0</t>
        </is>
      </c>
      <c r="B802" s="2" t="inlineStr">
        <is>
          <t>Home HJR 10-25/1,0 kábeldob, 25 m, fém talp, IP44-es védelem, H05RR-F 3G1,0 mm2 gumi kábel, max. 2300 W, 4 aljzat takarófedéllel, védőkapcsoló</t>
        </is>
      </c>
      <c r="C802" s="1" t="n">
        <v>18590.0</v>
      </c>
      <c r="D802" s="7" t="n">
        <f>HYPERLINK("https://www.somogyi.hu/product/home-hjr-10-25-1-0-kabeldob-25-m-fem-talp-ip44-es-vedelem-h05rr-f-3g1-0-mm2-gumi-kabel-max-2300-w-4-aljzat-takarofedellel-vedokapcsolo-hjr-10-25-1-0-13366","https://www.somogyi.hu/product/home-hjr-10-25-1-0-kabeldob-25-m-fem-talp-ip44-es-vedelem-h05rr-f-3g1-0-mm2-gumi-kabel-max-2300-w-4-aljzat-takarofedellel-vedokapcsolo-hjr-10-25-1-0-13366")</f>
        <v>0.0</v>
      </c>
      <c r="E802" s="7" t="n">
        <f>HYPERLINK("https://www.somogyi.hu/data/img/product_main_images/small/13366.jpg","https://www.somogyi.hu/data/img/product_main_images/small/13366.jpg")</f>
        <v>0.0</v>
      </c>
      <c r="F802" s="2" t="inlineStr">
        <is>
          <t>5999084914523</t>
        </is>
      </c>
      <c r="G802" s="4" t="inlineStr">
        <is>
          <t>A HJR 10-25/1,0 kábeldob strapabíró kialakításának köszönhetően hosszú távú megoldás lehet a ház körül és otthonában.
Az IP 44 védelem által kültéren is biztonsággal használható. A túlmelegedés elleni védőkapcsoló további védelmet nyújt használat során. A termék masszív fém talppal és 25 m hosszú H05RR-F 3G1,0 mm2 gumi kábellel ellátott. 
A kábeldob 4 db 250 V-os védőérintkezős aljzattal ellátott, melyet takarófedél véd. 
Feltekerve maximum 900 W-ig, letekerve pedig 2300 W-ig terhelhető.</t>
        </is>
      </c>
    </row>
    <row r="803">
      <c r="A803" s="3" t="inlineStr">
        <is>
          <t>HJR 4-50</t>
        </is>
      </c>
      <c r="B803" s="2" t="inlineStr">
        <is>
          <t>Home HJR 4-50 kábeldob, 50 m, IP20 kivitel, fém talp, H05VV-F 3G1,5 mm2 kábel, max. 3000 W, védőkapcsoló, 4 védőérintkezős aljzat</t>
        </is>
      </c>
      <c r="C803" s="1" t="n">
        <v>38990.0</v>
      </c>
      <c r="D803" s="7" t="n">
        <f>HYPERLINK("https://www.somogyi.hu/product/home-hjr-4-50-kabeldob-50-m-ip20-kivitel-fem-talp-h05vv-f-3g1-5-mm2-kabel-max-3000-w-vedokapcsolo-4-vedoerintkezos-aljzat-hjr-4-50-3242","https://www.somogyi.hu/product/home-hjr-4-50-kabeldob-50-m-ip20-kivitel-fem-talp-h05vv-f-3g1-5-mm2-kabel-max-3000-w-vedokapcsolo-4-vedoerintkezos-aljzat-hjr-4-50-3242")</f>
        <v>0.0</v>
      </c>
      <c r="E803" s="7" t="n">
        <f>HYPERLINK("https://www.somogyi.hu/data/img/product_main_images/small/03242.jpg","https://www.somogyi.hu/data/img/product_main_images/small/03242.jpg")</f>
        <v>0.0</v>
      </c>
      <c r="F803" s="2" t="inlineStr">
        <is>
          <t>5998312735664</t>
        </is>
      </c>
      <c r="G803" s="4" t="inlineStr">
        <is>
          <t>Gondolta volna, hogy egy kábeldob lehet a munkahelyi hatékonyság kulcsa? A Home HJR 4-50 kábeldob nem csupán praktikus, hanem biztonságos és megbízható megoldást kínál hosszabbítók terén.
Fém talpának köszönhetően stabilan áll, míg a 50 méter hosszú H05VV-F 3G1,5 mm2 kábel biztosítja az elektromos eszközök zavartalan energiaellátását, legyen szó akár a kertben, műhelyben való vagy otthoni használatról. A kábeldob feltekerve akár 1000 W, letekerve pedig 3000 W teljesítményre képes, így a nagyobb igényű felhasználások során is megbízható társ lesz.
A pipa alakú dugó és a négy védőérintkezős aljzat a csatlakoztatást egyszerűvé és gyorssá teszi, a visszaállító gomb pedig lehetővé teszi a hővédelem egyszerű kezelését. Az IP20 védettségű Home HJR 4-50 kábeldob nem csak a munkát teszi hatékonyabbá, hanem a biztonságot is növeli. Válassza a Home HJR 4-50 kábeldobot, és szabaduljon meg a rengeteg zavaró hosszabbítótól!</t>
        </is>
      </c>
    </row>
    <row r="804">
      <c r="A804" s="3" t="inlineStr">
        <is>
          <t>HJR 4-25</t>
        </is>
      </c>
      <c r="B804" s="2" t="inlineStr">
        <is>
          <t>Home HJR 4-25 kábeldob, 25 m, IP20 kivitel, fém talp, H05VV-F 3G1,0 mm2 kábel, max. 2300 W, védőkapcsoló, 4 védőérintkezős aljzat</t>
        </is>
      </c>
      <c r="C804" s="1" t="n">
        <v>16990.0</v>
      </c>
      <c r="D804" s="7" t="n">
        <f>HYPERLINK("https://www.somogyi.hu/product/home-hjr-4-25-kabeldob-25-m-ip20-kivitel-fem-talp-h05vv-f-3g1-0-mm2-kabel-max-2300-w-vedokapcsolo-4-vedoerintkezos-aljzat-hjr-4-25-3221","https://www.somogyi.hu/product/home-hjr-4-25-kabeldob-25-m-ip20-kivitel-fem-talp-h05vv-f-3g1-0-mm2-kabel-max-2300-w-vedokapcsolo-4-vedoerintkezos-aljzat-hjr-4-25-3221")</f>
        <v>0.0</v>
      </c>
      <c r="E804" s="7" t="n">
        <f>HYPERLINK("https://www.somogyi.hu/data/img/product_main_images/small/03221.jpg","https://www.somogyi.hu/data/img/product_main_images/small/03221.jpg")</f>
        <v>0.0</v>
      </c>
      <c r="F804" s="2" t="inlineStr">
        <is>
          <t>5998312735459</t>
        </is>
      </c>
      <c r="G804" s="4" t="inlineStr">
        <is>
          <t>Unja már, hogy mindig hosszabbító után kell kutatnia? A Home HJR 4-25 kábeldobbal megoldódik a problémája! Robusztus kialakításának köszönhetően kiváló társ lesz bármilyen munkához.
Ez a kábeldob 25 méter hosszú, H05VV-F 3G1,0 mm2 kábellel van felszerelve, ami lehetővé teszi a biztonságos használatot feltekerve és letekerve egyaránt. Feltekert állapotban való használatkor 900 W, letekerve pedig 2300 W maximális terhelhetőségével rendkívül sokoldalú. A pipa alakú dugó és a négy védőérintkezős aljzat gondoskodik a könnyű csatlakoztatásról, míg a strapabíró fém talp stabilitást biztosít.
A kioldott hővédelem egyszerűen visszaállítható a kábeldobon elhelyezett visszaállító gombbal. Az IP20 védettség mellett a Home HJR 4-25 kábeldob megfelel minden belső térben történő használathoz. Ne hagyja, hogy a munkáját a vezetékek hossza korlátozza - válassza a Home HJR 4-25 kábeldobot!</t>
        </is>
      </c>
    </row>
    <row r="805">
      <c r="A805" s="6" t="inlineStr">
        <is>
          <t xml:space="preserve">   Villamosság / Kültéri hosszabbító, elosztó</t>
        </is>
      </c>
      <c r="B805" s="6" t="inlineStr">
        <is>
          <t/>
        </is>
      </c>
      <c r="C805" s="6" t="inlineStr">
        <is>
          <t/>
        </is>
      </c>
      <c r="D805" s="6" t="inlineStr">
        <is>
          <t/>
        </is>
      </c>
      <c r="E805" s="6" t="inlineStr">
        <is>
          <t/>
        </is>
      </c>
      <c r="F805" s="6" t="inlineStr">
        <is>
          <t/>
        </is>
      </c>
      <c r="G805" s="6" t="inlineStr">
        <is>
          <t/>
        </is>
      </c>
    </row>
    <row r="806">
      <c r="A806" s="3" t="inlineStr">
        <is>
          <t>NV715BK</t>
        </is>
      </c>
      <c r="B806" s="2" t="inlineStr">
        <is>
          <t>Home NV715BK hosszabbító gumikábel, 15 méter, H07RN-F, zárófedéllel, max. 3500 W, IP44, fekete</t>
        </is>
      </c>
      <c r="C806" s="1" t="n">
        <v>12990.0</v>
      </c>
      <c r="D806" s="7" t="n">
        <f>HYPERLINK("https://www.somogyi.hu/product/home-nv715bk-hosszabbito-gumikabel-15-meter-h07rn-f-zarofedellel-max-3500-w-ip44-fekete-nv715bk-19116","https://www.somogyi.hu/product/home-nv715bk-hosszabbito-gumikabel-15-meter-h07rn-f-zarofedellel-max-3500-w-ip44-fekete-nv715bk-19116")</f>
        <v>0.0</v>
      </c>
      <c r="E806" s="7" t="n">
        <f>HYPERLINK("https://www.somogyi.hu/data/img/product_main_images/small/19116.jpg","https://www.somogyi.hu/data/img/product_main_images/small/19116.jpg")</f>
        <v>0.0</v>
      </c>
      <c r="F806" s="2" t="inlineStr">
        <is>
          <t>5999084971090</t>
        </is>
      </c>
      <c r="G806" s="4" t="inlineStr">
        <is>
          <t>Hogyan biztosítható a megbízható áramellátás akár kültéri környezetben is?
A Home NV715BK hosszabbító gumikábel ideális megoldás azok számára, akik strapabíró és biztonságos áramforrást keresnek akár beltéri, akár kültéri használatra. A 15 méter hosszúságú kábel H07RN-F 3G1,5 mm²-eskialakítása révén kiválóan alkalmas kerti, műhelyi és építkezési feladatokhoz, míg a zárófedéllel ellátott aljzat megóvja a csatlakozást a nedvességtől és a szennyeződésektől.
Időjárásálló és biztonságos kivitel
- H07RN-F 3G1,5 mm² kábel – kiváló mechanikai ellenállás és hosszú élettartam
- IP44 védettség – ellenáll a fröccsenő víznek és a por behatolásának
- Zárófedéllel ellátott aljzat – védelem a szennyeződésektől és nedvességtől
- Fekete színű, rugalmas gumikábel – könnyen kezelhető és ellenáll az időjárási viszonyoknak
Kiváló teljesítmény és sokoldalú felhasználás
- Maximális teljesítmény: 3500 W – nagy teljesítményű eszközök csatlakoztatására is alkalmas
- 250 V~ / 16 A feszültség – kompatibilis a legtöbb háztartási és ipari eszközzel
- 15 méteres hossz – nagyobb távolságok áthidalására is tökéletes
- Kültéri és beltéri használatra egyaránt ideális – kerti gépek, barkácseszközök vagy építési munkálatok során is praktikus
Miért érdemes a Home NV715BK hosszabbítót választani?
- Időjárásálló, kültéri kivitel (IP44)
- Erős, tartós H07RN-F gumikábel
- Nagy teljesítmény akár 3500 W-ig
- Zárófedél az aljzaton a maximális védelem érdekében
- Rugalmas és hosszú élettartamú kialakítás
Ne hagyja, hogy a távolság korlátozza a munkavégzést! A Home NV715BK hosszabbító gumikábel biztosítja az áramellátást ott is, ahol szüksége van rá!</t>
        </is>
      </c>
    </row>
    <row r="807">
      <c r="A807" s="3" t="inlineStr">
        <is>
          <t>NVO 03K-5/BK/1,5</t>
        </is>
      </c>
      <c r="B807" s="2" t="inlineStr">
        <is>
          <t>Home NVO 03K-5/BK/1,5 hálózati elosztó, 5 m, kapcsolós, H05RR-F 3G1,5 mm2, gumikábel, IP44 védelem, 3 aljzat gyermekvédelemmel és zárófedéllel, max. 3500W</t>
        </is>
      </c>
      <c r="C807" s="1" t="n">
        <v>7690.0</v>
      </c>
      <c r="D807" s="7" t="n">
        <f>HYPERLINK("https://www.somogyi.hu/product/home-nvo-03k-5-bk-1-5-halozati-eloszto-5-m-kapcsolos-h05rr-f-3g1-5-mm2-gumikabel-ip44-vedelem-3-aljzat-gyermekvedelemmel-es-zarofedellel-max-3500w-nvo-03k-5-bk-1-5-16787","https://www.somogyi.hu/product/home-nvo-03k-5-bk-1-5-halozati-eloszto-5-m-kapcsolos-h05rr-f-3g1-5-mm2-gumikabel-ip44-vedelem-3-aljzat-gyermekvedelemmel-es-zarofedellel-max-3500w-nvo-03k-5-bk-1-5-16787")</f>
        <v>0.0</v>
      </c>
      <c r="E807" s="7" t="n">
        <f>HYPERLINK("https://www.somogyi.hu/data/img/product_main_images/small/16787.jpg","https://www.somogyi.hu/data/img/product_main_images/small/16787.jpg")</f>
        <v>0.0</v>
      </c>
      <c r="F807" s="2" t="inlineStr">
        <is>
          <t>5999084948191</t>
        </is>
      </c>
      <c r="G807" s="4" t="inlineStr">
        <is>
          <t>Az NVO 03K-5/BK/1,5 Hálózati elosztó kapcsolós, masszív, kültéri kivitelben készült 5 m hosszú H05RR-F 3G1,5 mm² fekete gumikábellel. A termék IP 44 védettségű, a zárófedeles aljzatok által kültéren is biztonsággal használható. Az elosztó 3 db gyerekvédelemmel ellátott, 250 V-os aljzattal felszerelt. Maximum 3000 W-ig terhelhető.
Legyen körültekintő! Kiemelt jelentősége van annak, hogy kültérre csakis masszív, tömör gumikábellel és zárófedéllel ellátott elosztót vásároljon!</t>
        </is>
      </c>
    </row>
    <row r="808">
      <c r="A808" s="3" t="inlineStr">
        <is>
          <t>NVO 05K/BK</t>
        </is>
      </c>
      <c r="B808" s="2" t="inlineStr">
        <is>
          <t>Home NVO 05K/BK hálózati elosztó, 1,5 m, kapcsolós, H05RR-F 3G1,0 mm2, gumikábel, IP44 védelem, 5 aljzat gyermekvédelemmel és zárófedéllel, max. 3500W</t>
        </is>
      </c>
      <c r="C808" s="1" t="n">
        <v>4890.0</v>
      </c>
      <c r="D808" s="7" t="n">
        <f>HYPERLINK("https://www.somogyi.hu/product/home-nvo-05k-bk-halozati-eloszto-1-5-m-kapcsolos-h05rr-f-3g1-0-mm2-gumikabel-ip44-vedelem-5-aljzat-gyermekvedelemmel-es-zarofedellel-max-3500w-nvo-05k-bk-8534","https://www.somogyi.hu/product/home-nvo-05k-bk-halozati-eloszto-1-5-m-kapcsolos-h05rr-f-3g1-0-mm2-gumikabel-ip44-vedelem-5-aljzat-gyermekvedelemmel-es-zarofedellel-max-3500w-nvo-05k-bk-8534")</f>
        <v>0.0</v>
      </c>
      <c r="E808" s="7" t="n">
        <f>HYPERLINK("https://www.somogyi.hu/data/img/product_main_images/small/08534.jpg","https://www.somogyi.hu/data/img/product_main_images/small/08534.jpg")</f>
        <v>0.0</v>
      </c>
      <c r="F808" s="2" t="inlineStr">
        <is>
          <t>5998312774298</t>
        </is>
      </c>
      <c r="G808" s="4" t="inlineStr">
        <is>
          <t>Az NVO 05K/BK Hálózati elosztó kapcsolós, masszív, kültéri kivitelben készült 1,5 m hosszú H05RR-F 3G1,0 mm² fekete gumikábellel. A termék IP 44 védettségű, a zárófedeles aljzatok által kültéren is biztonsággal használható. Az elosztó 5 db gyerekvédelemmel ellátott, 250 V-os aljzattal felszerelt. Maximum 3500 W-ig terhelhető.
Legyen körültekintő! Kiemelt jelentősége van annak, hogy kültérre csakis masszív, tömör gumikábellel és zárófedéllel ellátott elosztót vásároljon!</t>
        </is>
      </c>
    </row>
    <row r="809">
      <c r="A809" s="3" t="inlineStr">
        <is>
          <t>NV725BK</t>
        </is>
      </c>
      <c r="B809" s="2" t="inlineStr">
        <is>
          <t>Home NV725BK hosszabbító gumikábel, 25 méter, H07RN-F, zárófedéllel, max. 3500 W, IP44, fekete</t>
        </is>
      </c>
      <c r="C809" s="1" t="n">
        <v>20290.0</v>
      </c>
      <c r="D809" s="7" t="n">
        <f>HYPERLINK("https://www.somogyi.hu/product/home-nv725bk-hosszabbito-gumikabel-25-meter-h07rn-f-zarofedellel-max-3500-w-ip44-fekete-nv725bk-19117","https://www.somogyi.hu/product/home-nv725bk-hosszabbito-gumikabel-25-meter-h07rn-f-zarofedellel-max-3500-w-ip44-fekete-nv725bk-19117")</f>
        <v>0.0</v>
      </c>
      <c r="E809" s="7" t="n">
        <f>HYPERLINK("https://www.somogyi.hu/data/img/product_main_images/small/19117.jpg","https://www.somogyi.hu/data/img/product_main_images/small/19117.jpg")</f>
        <v>0.0</v>
      </c>
      <c r="F809" s="2" t="inlineStr">
        <is>
          <t>5999084971106</t>
        </is>
      </c>
      <c r="G809" s="4" t="inlineStr">
        <is>
          <t>Hogyan biztosítható a megbízható áramellátás akár kültéri környezetben is?
A Home NV725BK hosszabbító gumikábel ideális megoldás azok számára, akik strapabíró és biztonságos áramforrást keresnek akár beltéri, akár kültéri használatra. A 25 méter hosszúságú kábel H07RN-F 3G1,5 mm²-eskialakítása révén kiválóan alkalmas kerti, műhelyi és építkezési feladatokhoz, míg a zárófedéllel ellátott aljzat megóvja a csatlakozást a nedvességtől és a szennyeződésektől.
Időjárásálló és biztonságos kivitel
- H07RN-F 3G1,5 mm² kábel – kiváló mechanikai ellenállás és hosszú élettartam
- IP44 védettség – ellenáll a fröccsenő víznek és a por behatolásának
- Zárófedéllel ellátott aljzat – védelem a szennyeződésektől és nedvességtől
- Fekete színű, rugalmas gumikábel – könnyen kezelhető és ellenáll az időjárási viszonyoknak
Kiváló teljesítmény és sokoldalú felhasználás
- Maximális teljesítmény: 3500 W – nagy teljesítményű eszközök csatlakoztatására is alkalmas
- 250 V~ / 16 A feszültség – kompatibilis a legtöbb háztartási és ipari eszközzel
- 25 méteres hossz – nagyobb távolságok áthidalására is tökéletes
- Kültéri és beltéri használatra egyaránt ideális – kerti gépek, barkácseszközök vagy építési munkálatok során is praktikus
Miért érdemes a Home NV725BK hosszabbítót választani?
- Időjárásálló, kültéri kivitel (IP44)
- Erős, tartós H07RN-F gumikábel
- Nagy teljesítmény akár 3500 W-ig
- Zárófedél az aljzaton a maximális védelem érdekében
- Rugalmas és hosszú élettartamú kialakítás
Ne hagyja, hogy a távolság korlátozza a munkavégzést! A Home NV725BK hosszabbító gumikábel biztosítja az áramellátást ott is, ahol szüksége van rá!</t>
        </is>
      </c>
    </row>
    <row r="810">
      <c r="A810" s="3" t="inlineStr">
        <is>
          <t>NV 7-30/GY</t>
        </is>
      </c>
      <c r="B810" s="2" t="inlineStr">
        <is>
          <t>Home NV 7-30/GY hosszabbító, 30 m, H07RN-F 3G1,5 mm2 kábel, IP44 védelem, zárófedél az aljzaton, gumírozott kábel, 250V~/16A/3500W</t>
        </is>
      </c>
      <c r="C810" s="1" t="n">
        <v>22390.0</v>
      </c>
      <c r="D810" s="7" t="n">
        <f>HYPERLINK("https://www.somogyi.hu/product/home-nv-7-30-gy-hosszabbito-30-m-h07rn-f-3g1-5-mm2-kabel-ip44-vedelem-zarofedel-az-aljzaton-gumirozott-kabel-250v-16a-3500w-nv-7-30-gy-8496","https://www.somogyi.hu/product/home-nv-7-30-gy-hosszabbito-30-m-h07rn-f-3g1-5-mm2-kabel-ip44-vedelem-zarofedel-az-aljzaton-gumirozott-kabel-250v-16a-3500w-nv-7-30-gy-8496")</f>
        <v>0.0</v>
      </c>
      <c r="E810" s="7" t="n">
        <f>HYPERLINK("https://www.somogyi.hu/data/img/product_main_images/small/08496.jpg","https://www.somogyi.hu/data/img/product_main_images/small/08496.jpg")</f>
        <v>0.0</v>
      </c>
      <c r="F810" s="2" t="inlineStr">
        <is>
          <t>5998312773949</t>
        </is>
      </c>
      <c r="G810" s="4" t="inlineStr">
        <is>
          <t>Az NV 7-30/GY Hosszabbító 30 méter hosszú H07RN-F 3G1,5 mm2 kábellel van szerelve. A termék IP 44 védettségű, a zárófedeles aljzat által kültéren is biztonsággal használható. 3500 W-ig terhelhető, építkezéseken is használható, a hátóságok által is elfogadott termék.
A ház körül mindig szükség van egy hosszabbítóra, így a legjobb választás ez a strapabíró kültéri kivitel lesz.</t>
        </is>
      </c>
    </row>
    <row r="811">
      <c r="A811" s="3" t="inlineStr">
        <is>
          <t>NVO 05K-5/BK/1,5</t>
        </is>
      </c>
      <c r="B811" s="2" t="inlineStr">
        <is>
          <t>Home NVO 05K-5/BK/1,5 hálózati elosztó, 5 m, kapcsolós, H05RR-F 3G1,5 mm2, gumikábel, IP44 védelem, 5 aljzat gyermekvédelemmel és zárófedéllel, max. 3500W</t>
        </is>
      </c>
      <c r="C811" s="1" t="n">
        <v>8590.0</v>
      </c>
      <c r="D811" s="7" t="n">
        <f>HYPERLINK("https://www.somogyi.hu/product/home-nvo-05k-5-bk-1-5-halozati-eloszto-5-m-kapcsolos-h05rr-f-3g1-5-mm2-gumikabel-ip44-vedelem-5-aljzat-gyermekvedelemmel-es-zarofedellel-max-3500w-nvo-05k-5-bk-1-5-16775","https://www.somogyi.hu/product/home-nvo-05k-5-bk-1-5-halozati-eloszto-5-m-kapcsolos-h05rr-f-3g1-5-mm2-gumikabel-ip44-vedelem-5-aljzat-gyermekvedelemmel-es-zarofedellel-max-3500w-nvo-05k-5-bk-1-5-16775")</f>
        <v>0.0</v>
      </c>
      <c r="E811" s="7" t="n">
        <f>HYPERLINK("https://www.somogyi.hu/data/img/product_main_images/small/16775.jpg","https://www.somogyi.hu/data/img/product_main_images/small/16775.jpg")</f>
        <v>0.0</v>
      </c>
      <c r="F811" s="2" t="inlineStr">
        <is>
          <t>5999084948078</t>
        </is>
      </c>
      <c r="G811" s="4" t="inlineStr">
        <is>
          <t>Az NVO 05K-5/BK/1,5 Hálózati elosztó kapcsolós, masszív, kültéri kivitelben készült 5 m hosszú H05RR-F 3G1,5 mm² fekete gumikábellel. A termék IP 44 védettségű, a zárófedeles aljzatok által kültéren is biztonsággal használható. Az elosztó 5 db gyerekvédelemmel ellátott, 250 V-os aljzattal felszerelt. Maximum 3000 W-ig terhelhető.
Legyen körültekintő! Kiemelt jelentősége van annak, hogy kültérre csakis masszív, tömör gumikábellel és zárófedéllel ellátott elosztót vásároljon!</t>
        </is>
      </c>
    </row>
    <row r="812">
      <c r="A812" s="3" t="inlineStr">
        <is>
          <t>NVL 4-5/BK/1,5</t>
        </is>
      </c>
      <c r="B812" s="2" t="inlineStr">
        <is>
          <t>Home NVL 4-5/BK/1,5 leszúrható kültéri elosztó, 5 m, H07RN-F 3G1,5 mm2 kábel, IP44 védelem,  4 aljzat gyermekvédelemmel, max. 3680W</t>
        </is>
      </c>
      <c r="C812" s="1" t="n">
        <v>8890.0</v>
      </c>
      <c r="D812" s="7" t="n">
        <f>HYPERLINK("https://www.somogyi.hu/product/home-nvl-4-5-bk-1-5-leszurhato-kulteri-eloszto-5-m-h07rn-f-3g1-5-mm2-kabel-ip44-vedelem-4-aljzat-gyermekvedelemmel-max-3680w-nvl-4-5-bk-1-5-17573","https://www.somogyi.hu/product/home-nvl-4-5-bk-1-5-leszurhato-kulteri-eloszto-5-m-h07rn-f-3g1-5-mm2-kabel-ip44-vedelem-4-aljzat-gyermekvedelemmel-max-3680w-nvl-4-5-bk-1-5-17573")</f>
        <v>0.0</v>
      </c>
      <c r="E812" s="7" t="n">
        <f>HYPERLINK("https://www.somogyi.hu/data/img/product_main_images/small/17573.jpg","https://www.somogyi.hu/data/img/product_main_images/small/17573.jpg")</f>
        <v>0.0</v>
      </c>
      <c r="F812" s="2" t="inlineStr">
        <is>
          <t>5999084955953</t>
        </is>
      </c>
      <c r="G812" s="4" t="inlineStr">
        <is>
          <t>Kültéri, leszúrható NVL 4-5/BK/1,5 elosztó 4 darab gyermekvédelemmel ellátott zárófedeles aljazot foglal magában. Az elosztó vezetékének hossza 5 méter masszív, tömör gumikábel. Használja bátran az IP44 védelemmel bíró terméket kerti szerszámok üzemeltetésére!</t>
        </is>
      </c>
    </row>
    <row r="813">
      <c r="A813" s="3" t="inlineStr">
        <is>
          <t>NVO 03K/BK</t>
        </is>
      </c>
      <c r="B813" s="2" t="inlineStr">
        <is>
          <t>Home NVO 03K/BK hálózati elosztó, 1,5 m, kapcsolós, H05RR-F 3G1,0 mm2, gumikábel, IP44 védelem, 3 aljzat gyermekvédelemmel és zárófedéllel, max. 3500W</t>
        </is>
      </c>
      <c r="C813" s="1" t="n">
        <v>3990.0</v>
      </c>
      <c r="D813" s="7" t="n">
        <f>HYPERLINK("https://www.somogyi.hu/product/home-nvo-03k-bk-halozati-eloszto-1-5-m-kapcsolos-h05rr-f-3g1-0-mm2-gumikabel-ip44-vedelem-3-aljzat-gyermekvedelemmel-es-zarofedellel-max-3500w-nvo-03k-bk-8930","https://www.somogyi.hu/product/home-nvo-03k-bk-halozati-eloszto-1-5-m-kapcsolos-h05rr-f-3g1-0-mm2-gumikabel-ip44-vedelem-3-aljzat-gyermekvedelemmel-es-zarofedellel-max-3500w-nvo-03k-bk-8930")</f>
        <v>0.0</v>
      </c>
      <c r="E813" s="7" t="n">
        <f>HYPERLINK("https://www.somogyi.hu/data/img/product_main_images/small/08930.jpg","https://www.somogyi.hu/data/img/product_main_images/small/08930.jpg")</f>
        <v>0.0</v>
      </c>
      <c r="F813" s="2" t="inlineStr">
        <is>
          <t>5998312778104</t>
        </is>
      </c>
      <c r="G813" s="4" t="inlineStr">
        <is>
          <t>Az NVO 03K/BK Hálózati elosztó kapcsolós, masszív, kültéri kivitelben készült 1,5 m hosszú H05RR-F 3G1,0 mm² fekete gumikábellel. A termék IP 44 védettségű, a zárófedeles aljzatok által kültéren is biztonsággal használható. Az elosztó 3 db gyerekvédelemmel ellátott, 250 V-os aljzattal felszerelt. Maximum 3500 W-ig terhelhető.
Legyen körültekintő! Kiemelt jelentősége van annak, hogy kültérre csakis masszív, tömör gumikábellel és zárófedéllel ellátott elosztót vásároljon!</t>
        </is>
      </c>
    </row>
    <row r="814">
      <c r="A814" s="3" t="inlineStr">
        <is>
          <t>NV 8V3-25</t>
        </is>
      </c>
      <c r="B814" s="2" t="inlineStr">
        <is>
          <t>Home NV 8V3-25 kültéri hosszabbító, 25 m, AT-N07V3V3-F 3G1,5 mm2 kábel, IP44 védelem, olaj és UV-álló, -35°C-ig hajlékony, 230 V~/16A/3680W</t>
        </is>
      </c>
      <c r="C814" s="1" t="n">
        <v>27490.0</v>
      </c>
      <c r="D814" s="7" t="n">
        <f>HYPERLINK("https://www.somogyi.hu/product/home-nv-8v3-25-kulteri-hosszabbito-25-m-at-n07v3v3-f-3g1-5-mm2-kabel-ip44-vedelem-olaj-es-uv-allo-35-c-ig-hajlekony-230-v-16a-3680w-nv-8v3-25-17773","https://www.somogyi.hu/product/home-nv-8v3-25-kulteri-hosszabbito-25-m-at-n07v3v3-f-3g1-5-mm2-kabel-ip44-vedelem-olaj-es-uv-allo-35-c-ig-hajlekony-230-v-16a-3680w-nv-8v3-25-17773")</f>
        <v>0.0</v>
      </c>
      <c r="E814" s="7" t="n">
        <f>HYPERLINK("https://www.somogyi.hu/data/img/product_main_images/small/17773.jpg","https://www.somogyi.hu/data/img/product_main_images/small/17773.jpg")</f>
        <v>0.0</v>
      </c>
      <c r="F814" s="2" t="inlineStr">
        <is>
          <t>5999084957957</t>
        </is>
      </c>
      <c r="G814" s="4" t="inlineStr">
        <is>
          <t>Megbízható áramellátást keres kültéren, akár extrém körülmények között is?
A Home NV 8V3-25 kültéri hosszabbító minden olyan helyzetben ideális választás, ahol hosszú távú és biztonságos áramellátásra van szükség kültéri környezetben. Legyen szó építkezési munkákról, kertészeti eszközök használatáról vagy szabadtéri rendezvények áramellátásáról, ez a hosszabbító a tartósságot és a praktikumot ötvözi. Az akár -35 °C-ig hajlékony kábel és az IP44-es védelem gondoskodik a megbízható működésről szélsőséges időjárási viszonyok mellett is.
Kiváló minőségű kialakítás a hosszú élettartam érdekében
A hosszabbító AT-N07V3V3-F 3G1,5 mm² keresztmetszetű kábellel készült, amely kimagaslóan ellenáll a mechanikai terhelésnek és kopásálló. A 25 méteres hosszúság lehetővé teszi, hogy nagyobb távolságokban is gond nélkül csatlakoztathasson elektromos eszközöket. Az olaj- és UV-álló burkolat hosszú élettartamot biztosít még intenzív kültéri használat esetén is.
Teljesítmény, amelyre minden helyzetben számíthat
Ez a hosszabbító maximálisan 3680 W teljesítményű, névleges feszültsége 230 V~, és 16 A áramerősség mellett üzemeltethető, így akár nagy teljesítményigényű eszközöket is biztonságosan csatlakoztathat. Az IP44-es védelem garantálja a fröccsenő víz elleni védelmet, így esős időben is biztonságosan használható. A különleges kábelanyag -35 °C-ig megőrzi rugalmasságát, ezáltal kiválóan alkalmazható hideg időjárásban is.
Főbb jellemzők:
- AT-N07V3V3-F 3G1,5 mm² kábel a megbízható teljesítményért
- 25 méteres hosszúság, amely nagy hatótávolságot biztosít
- Olaj- és UV-álló burkolat, amely hosszú élettartamot garantál
- IP44 védelem, amely fröccsenő víz ellen védett
- Maximális teljesítmény: 3680 W, névleges feszültség: 230 V~, névleges áramerősség: 16 A
- -35 °C-ig hajlékony kábel, amely még hideg környezetben is könnyen kezelhető
Különleges védelem és tartósság kültéri használatra
A Home NV 8V3-25 hosszabbító speciálisan úgy lett tervezve, hogy ellenálljon az időjárási és környezeti hatásoknak. Az olajálló és UV-álló burkolat védelmet nyújt a napfény káros hatásaival szemben, így nem kell aggódnia, hogy a kábel idő előtt elöregszik. Az IP44-es besorolás azt jelenti, hogy a hosszabbító fröccsenő víz ellen védett, így biztonságosan használható nedves környezetben is.
Miért válassza a Home NV 8V3-25 kültéri hosszabbítót?
Ha fontos a megbízhatóság és a tartósság, akkor ez a hosszabbító tökéletes választás. A hosszú élettartamot biztosító anyagok és az időjárásálló kialakítás garantálják, hogy minden helyzetben számíthat rá. Kiválóan alkalmazható kerti szerszámokhoz, elektromos szerszámgépekhez, de akár rendezvények áramellátásához is ideális. Ne hagyja, hogy az áramellátás hiánya akadályozza a munkáját – válassza a Home NV 8V3-25 modellt, és élvezze a zavartalan működés előnyeit!</t>
        </is>
      </c>
    </row>
    <row r="815">
      <c r="A815" s="3" t="inlineStr">
        <is>
          <t>NV 8V3-15</t>
        </is>
      </c>
      <c r="B815" s="2" t="inlineStr">
        <is>
          <t>Home NV 8V3-15 kültéri hosszabbító, 15 m, AT-N07V3V3-F 3G1,5 mm2 kábel, IP44 védelem, olaj és UV-álló, -35°C-ig hajlékony, 230 V~/16A/3680W</t>
        </is>
      </c>
      <c r="C815" s="1" t="n">
        <v>16590.0</v>
      </c>
      <c r="D815" s="7" t="n">
        <f>HYPERLINK("https://www.somogyi.hu/product/home-nv-8v3-15-kulteri-hosszabbito-15-m-at-n07v3v3-f-3g1-5-mm2-kabel-ip44-vedelem-olaj-es-uv-allo-35-c-ig-hajlekony-230-v-16a-3680w-nv-8v3-15-17772","https://www.somogyi.hu/product/home-nv-8v3-15-kulteri-hosszabbito-15-m-at-n07v3v3-f-3g1-5-mm2-kabel-ip44-vedelem-olaj-es-uv-allo-35-c-ig-hajlekony-230-v-16a-3680w-nv-8v3-15-17772")</f>
        <v>0.0</v>
      </c>
      <c r="E815" s="7" t="n">
        <f>HYPERLINK("https://www.somogyi.hu/data/img/product_main_images/small/17772.jpg","https://www.somogyi.hu/data/img/product_main_images/small/17772.jpg")</f>
        <v>0.0</v>
      </c>
      <c r="F815" s="2" t="inlineStr">
        <is>
          <t>5999084957940</t>
        </is>
      </c>
      <c r="G815" s="4" t="inlineStr">
        <is>
          <t>Olyan kültéri hosszabbítót keres, amely a legszélsőségesebb körülmények között is megbízhatóan működik?
A Home NV 8V3-15 kültéri hosszabbító kiváló választás mindazok számára, akik tartós, strapabíró és biztonságos megoldást keresnek kültéri elektromos csatlakoztatáshoz. Legyen szó kerti munkáról, építkezésről vagy rendezvényszervezésről, ez a hosszabbító még extrém körülmények között is helytáll. Az akár -35 °C-ig hajlékony kábel és az IP44 védelem biztosítja a zavartalan használatot hideg időben és nedves környezetben egyaránt.
Kiemelkedő műszaki jellemzők a maximális teljesítmény érdekében
Ez a hosszabbító AT-N07V3V3-F 3G1,5 mm² keresztmetszetű kábellel készült, amely rendkívül ellenálló a mechanikai terhelésekkel szemben, így kiválóan alkalmas kültéri és ipari környezetben történő használatra. A 15 méter hosszúságú kábel elegendő hatótávolságot nyújt, akár nagyobb területen is. A maximális terhelhetősége 3680 W, névleges feszültsége 230 V~, és 16 A áramerősséggel működtethető, így nagy teljesítményű eszközök csatlakoztatása sem jelent problémát.
Szélsőséges időjárási körülmények között is megbízható
Ez a hosszabbító kiválóan ellenáll a kedvezőtlen időjárási viszonyoknak. A kábel olaj- és UV-álló, így hosszú távon is megőrzi rugalmasságát és épségét intenzív napsugárzás vagy olajjal való érintkezés esetén. Az IP44 védelem biztosítja a fröccsenő víz elleni védelmet, így esős időben is biztonságosan használható. A kábel különleges anyagának köszönhetően még -35 °C-os hidegben is hajlékony, ami rendkívül kényelmessé teszi a használatot téli időszakban is.
Tartós, strapabíró kialakítás
A Home NV 8V3-15 hosszabbító kifejezetten a hosszú élettartam és a nagyfokú kopásállóság jegyében készült. A mechanikailag jól terhelhető kábel ideális választás építkezéseken, ipari környezetben, de akár otthoni barkácsmunkák során is. A kábel vastagsága és minősége garantálja a biztonságos áramvezetést még nagy igénybevétel esetén is.
Főbb jellemzők:
- AT-N07V3V3-F 3G1,5 mm² kábel a megbízható áramellátás érdekében
- 15 méter hosszúság, amely nagy hatótávolságot biztosít
- Olaj- és UV-álló burkolat a hosszú élettartam érdekében
- IP44 védelem, fröccsenő víz ellen védett kialakítás
- Maximális terhelhetőség: 3680 W
- Hajlékony -35 °C-ig, így a hideg időjárás sem jelent akadályt
- 230 V~ / 16 A névleges feszültség és áramerősség
Miért válassza a Home NV 8V3-15 hosszabbítót?
Ez a hosszabbító nemcsak megbízható működést nyújt, hanem kifejezetten úgy lett tervezve, hogy ellenálljon a legkeményebb körülményeknek is. Legyen szó kertészeti eszközök, elektromos szerszámok vagy világítótestek csatlakoztatásáról, ez a hosszabbító minden helyzetben megállja a helyét. Válassza a Home NV 8V3-15 modellt, és biztosítsa eszközeinek biztonságos és folyamatos áramellátását minden helyzetben!</t>
        </is>
      </c>
    </row>
    <row r="816">
      <c r="A816" s="3" t="inlineStr">
        <is>
          <t>NV 7-10/GY</t>
        </is>
      </c>
      <c r="B816" s="2" t="inlineStr">
        <is>
          <t>Home NV 7-10/GY hosszabbító, 10 m, H07RN-F 3G1,5 mm2 kábel, IP44 védelem, zárófedél az aljzaton, gumírozott kábel, 250V~/16A/3500W</t>
        </is>
      </c>
      <c r="C816" s="1" t="n">
        <v>8290.0</v>
      </c>
      <c r="D816" s="7" t="n">
        <f>HYPERLINK("https://www.somogyi.hu/product/home-nv-7-10-gy-hosszabbito-10-m-h07rn-f-3g1-5-mm2-kabel-ip44-vedelem-zarofedel-az-aljzaton-gumirozott-kabel-250v-16a-3500w-nv-7-10-gy-8494","https://www.somogyi.hu/product/home-nv-7-10-gy-hosszabbito-10-m-h07rn-f-3g1-5-mm2-kabel-ip44-vedelem-zarofedel-az-aljzaton-gumirozott-kabel-250v-16a-3500w-nv-7-10-gy-8494")</f>
        <v>0.0</v>
      </c>
      <c r="E816" s="7" t="n">
        <f>HYPERLINK("https://www.somogyi.hu/data/img/product_main_images/small/08494.jpg","https://www.somogyi.hu/data/img/product_main_images/small/08494.jpg")</f>
        <v>0.0</v>
      </c>
      <c r="F816" s="2" t="inlineStr">
        <is>
          <t>5998312773925</t>
        </is>
      </c>
      <c r="G816" s="4" t="inlineStr">
        <is>
          <t>Az NV 7-10/GY Hosszabbító 10 méter hosszú H07RN-F 3G1,5 mm2 kábellel van szerelve. A termék IP 44 védettségű, a zárófedeles aljzat által kültéren is biztonsággal használható. 3500 W-ig terhelhető, építkezéseken is használható, a hátóságok által is elfogadott termék.
A ház körül mindig szükség van egy hosszabbítóra, így a legjobb választás ez a strapabíró kültéri kivitel lesz.</t>
        </is>
      </c>
    </row>
    <row r="817">
      <c r="A817" s="3" t="inlineStr">
        <is>
          <t>NV 7-20/GY</t>
        </is>
      </c>
      <c r="B817" s="2" t="inlineStr">
        <is>
          <t>Home NV 7-20/GY hosszabbító, 20 m, H07RN-F 3G1,5 mm2 kábel, IP44 védelem, zárófedél az aljzaton, gumírozott kábel, 250V~/16A/3500W</t>
        </is>
      </c>
      <c r="C817" s="1" t="n">
        <v>15290.0</v>
      </c>
      <c r="D817" s="7" t="n">
        <f>HYPERLINK("https://www.somogyi.hu/product/home-nv-7-20-gy-hosszabbito-20-m-h07rn-f-3g1-5-mm2-kabel-ip44-vedelem-zarofedel-az-aljzaton-gumirozott-kabel-250v-16a-3500w-nv-7-20-gy-8495","https://www.somogyi.hu/product/home-nv-7-20-gy-hosszabbito-20-m-h07rn-f-3g1-5-mm2-kabel-ip44-vedelem-zarofedel-az-aljzaton-gumirozott-kabel-250v-16a-3500w-nv-7-20-gy-8495")</f>
        <v>0.0</v>
      </c>
      <c r="E817" s="7" t="n">
        <f>HYPERLINK("https://www.somogyi.hu/data/img/product_main_images/small/08495.jpg","https://www.somogyi.hu/data/img/product_main_images/small/08495.jpg")</f>
        <v>0.0</v>
      </c>
      <c r="F817" s="2" t="inlineStr">
        <is>
          <t>5998312773932</t>
        </is>
      </c>
      <c r="G817" s="4" t="inlineStr">
        <is>
          <t>Az NV 7-20/GY Hosszabbító 20 méter hosszú H07RN-F 3G1,5 mm2 kábellel ellátott. Az IP 44 védelem és a zárófedeles aljzat által kültéren is biztonsággal használható. Maximum 3500 W-ig terhelhető, építkezéseken is használható, a hátóságok által is elfogadott termék.
A ház körül mindig szükség van egy hosszabbítóra, így a legjobb választás ez a strapabíró kültéri kivitel lesz.</t>
        </is>
      </c>
    </row>
    <row r="818">
      <c r="A818" s="6" t="inlineStr">
        <is>
          <t xml:space="preserve">   Villamosság / Hosszabbító, csatlakozókábel</t>
        </is>
      </c>
      <c r="B818" s="6" t="inlineStr">
        <is>
          <t/>
        </is>
      </c>
      <c r="C818" s="6" t="inlineStr">
        <is>
          <t/>
        </is>
      </c>
      <c r="D818" s="6" t="inlineStr">
        <is>
          <t/>
        </is>
      </c>
      <c r="E818" s="6" t="inlineStr">
        <is>
          <t/>
        </is>
      </c>
      <c r="F818" s="6" t="inlineStr">
        <is>
          <t/>
        </is>
      </c>
      <c r="G818" s="6" t="inlineStr">
        <is>
          <t/>
        </is>
      </c>
    </row>
    <row r="819">
      <c r="A819" s="3" t="inlineStr">
        <is>
          <t>NV 2-20/OR/1,5</t>
        </is>
      </c>
      <c r="B819" s="2" t="inlineStr">
        <is>
          <t>Home NV 2-20/OR/1,5 hosszabbító, 20 m, H05VV-F 3G1,5 mm2 kábel, IP 20 kivitel, 250V~/16A/3680W, pipa alakú dugó és egyenes lengő aljzat, narancssárga színű</t>
        </is>
      </c>
      <c r="C819" s="1" t="n">
        <v>11890.0</v>
      </c>
      <c r="D819" s="7" t="n">
        <f>HYPERLINK("https://www.somogyi.hu/product/home-nv-2-20-or-1-5-hosszabbito-20-m-h05vv-f-3g1-5-mm2-kabel-ip-20-kivitel-250v-16a-3680w-pipa-alaku-dugo-es-egyenes-lengo-aljzat-narancssarga-szinu-nv-2-20-or-1-5-13368","https://www.somogyi.hu/product/home-nv-2-20-or-1-5-hosszabbito-20-m-h05vv-f-3g1-5-mm2-kabel-ip-20-kivitel-250v-16a-3680w-pipa-alaku-dugo-es-egyenes-lengo-aljzat-narancssarga-szinu-nv-2-20-or-1-5-13368")</f>
        <v>0.0</v>
      </c>
      <c r="E819" s="7" t="n">
        <f>HYPERLINK("https://www.somogyi.hu/data/img/product_main_images/small/13368.jpg","https://www.somogyi.hu/data/img/product_main_images/small/13368.jpg")</f>
        <v>0.0</v>
      </c>
      <c r="F819" s="2" t="inlineStr">
        <is>
          <t>5999084914547</t>
        </is>
      </c>
      <c r="G819" s="4" t="inlineStr">
        <is>
          <t>Egy megbízható és praktikus hosszabbítót keres otthoni használatra? A Home NV 2-20/OR/1,5 hosszabbító ideális választás, ha hosszú és kényelmesen használható elektromos csatlakozást szeretne biztosítani.
Ez a hosszabbító 20 méter hosszú H05VV-F 3G1,5 mm2 kábellel rendelkezik, amelynek köszönhetően nagyobb távolságok áthidalására is alkalmas. Kiválóan használható otthon, ahol a távolabbi elektromos csatlakozások elérése szükséges. A pipa alakú dugó és az egyenes lengő aljzat biztosítja a kényelmes és biztonságos csatlakozást.
A hosszabbító narancssárga színű, ami segít könnyen azonosítani és megkülönböztetni más kábelektől. IP20 védettsége azt jelenti, hogy benti használatra tervezték, védelmet nyújtva közepes méretű, 12mm‑nél nagyobb szilárd dolgok ellen. A hosszabbító 250V~/16A/3680W kapacitással rendelkezik, így számos különböző elektromos eszköz csatlakoztatására alkalmas.
Válassza a Home NV 2-20/OR/1,5 hosszabbítót, ha egy megbízható, biztonságos és hosszú távú elektromos megoldást keres otthonába. Rendelje meg most, és élvezze a kényelmet és rugalmasságot, amit ez a hosszabbító nyújt!</t>
        </is>
      </c>
    </row>
    <row r="820">
      <c r="A820" s="3" t="inlineStr">
        <is>
          <t>NV 2-30/OR/1,5</t>
        </is>
      </c>
      <c r="B820" s="2" t="inlineStr">
        <is>
          <t>Home NV 2-30/OR/1,5 hosszabító, 30 m, H05VV-F 3G1,5 mm2 kábel, IP 20 kivitel, 250V~/16A/3680W, pipa alakú dugó és egyenes lengő aljzat, narancssárga színű</t>
        </is>
      </c>
      <c r="C820" s="1" t="n">
        <v>17390.0</v>
      </c>
      <c r="D820" s="7" t="n">
        <f>HYPERLINK("https://www.somogyi.hu/product/home-nv-2-30-or-1-5-hosszabito-30-m-h05vv-f-3g1-5-mm2-kabel-ip-20-kivitel-250v-16a-3680w-pipa-alaku-dugo-es-egyenes-lengo-aljzat-narancssarga-szinu-nv-2-30-or-1-5-13369","https://www.somogyi.hu/product/home-nv-2-30-or-1-5-hosszabito-30-m-h05vv-f-3g1-5-mm2-kabel-ip-20-kivitel-250v-16a-3680w-pipa-alaku-dugo-es-egyenes-lengo-aljzat-narancssarga-szinu-nv-2-30-or-1-5-13369")</f>
        <v>0.0</v>
      </c>
      <c r="E820" s="7" t="n">
        <f>HYPERLINK("https://www.somogyi.hu/data/img/product_main_images/small/13369.jpg","https://www.somogyi.hu/data/img/product_main_images/small/13369.jpg")</f>
        <v>0.0</v>
      </c>
      <c r="F820" s="2" t="inlineStr">
        <is>
          <t>5999084914554</t>
        </is>
      </c>
      <c r="G820" s="4" t="inlineStr">
        <is>
          <t>Egy megbízható és praktikus hosszabbítót keres otthoni használatra? A Home NV 2-30/OR/1,5 hosszabbító ideális választás, ha hosszú és kényelmesen használható elektromos csatlakozást szeretne biztosítani.
Ez a hosszabbító 30 méter hosszú H05VV-F 3G1,5 mm2 kábellel rendelkezik, amelynek köszönhetően nagyobb távolságok áthidalására is alkalmas. Kiválóan használható otthon, ahol a távolabbi elektromos csatlakozások elérése szükséges. A pipa alakú dugó és az egyenes lengő aljzat biztosítja a kényelmes és biztonságos csatlakozást.
A hosszabbító narancssárga színű, ami segít könnyen azonosítani és megkülönböztetni más kábelektől. IP20 védettsége azt jelenti, hogy benti használatra tervezték, védelmet nyújtva közepes méretű, 12mm‑nél nagyobb szilárd dolgok ellen. A hosszabbító 250V~/16A/3680W kapacitással rendelkezik, így számos különböző elektromos eszköz csatlakoztatására alkalmas.
Válassza a Home NV 2-30/OR/1,5 hosszabbítót, ha egy megbízható, biztonságos és hosszú távú elektromos megoldást keres otthonába. Rendelje meg most, és élvezze a kényelmet és rugalmasságot, amit ez a hosszabbító nyújt!</t>
        </is>
      </c>
    </row>
    <row r="821">
      <c r="A821" s="3" t="inlineStr">
        <is>
          <t>NV CR</t>
        </is>
      </c>
      <c r="B821" s="2" t="inlineStr">
        <is>
          <t>Home NV CR vezetékrendező hosszabbítóhoz, max. 30 m hosszabbító feltekerésére, kényelmes fogantyú, rögzíthető csatlakozódugó, felakasztható</t>
        </is>
      </c>
      <c r="C821" s="1" t="n">
        <v>1750.0</v>
      </c>
      <c r="D821" s="7" t="n">
        <f>HYPERLINK("https://www.somogyi.hu/product/home-nv-cr-vezetekrendezo-hosszabbitohoz-max-30-m-hosszabbito-feltekeresere-kenyelmes-fogantyu-rogzitheto-csatlakozodugo-felakaszthato-nv-cr-17572","https://www.somogyi.hu/product/home-nv-cr-vezetekrendezo-hosszabbitohoz-max-30-m-hosszabbito-feltekeresere-kenyelmes-fogantyu-rogzitheto-csatlakozodugo-felakaszthato-nv-cr-17572")</f>
        <v>0.0</v>
      </c>
      <c r="E821" s="7" t="n">
        <f>HYPERLINK("https://www.somogyi.hu/data/img/product_main_images/small/17572.jpg","https://www.somogyi.hu/data/img/product_main_images/small/17572.jpg")</f>
        <v>0.0</v>
      </c>
      <c r="F821" s="2" t="inlineStr">
        <is>
          <t>5999084955946</t>
        </is>
      </c>
      <c r="G821" s="4" t="inlineStr">
        <is>
          <t>Káosz uralkodik a hosszabbítók között? Itt a megoldás, hogy véget vessen a rendetlenségnek!
A Home NV CR vezetékrendező a tökéletes eszköz, amely segít megszabadulni a hosszabbítók körüli kábeleloszlás okozta problémáktól. Legyen szó akár 30 méteres hosszabbítóról, ezzel a praktikus vezetékrendezővel mindig rendszerezett maradhat, miközben időt és energiát takarít meg. Az ergonomikus kialakítású fogantyú kényelmes használatot biztosít, míg a rögzíthető csatlakozódugó garantálja, hogy a kábel feltekerése egyszerű és gyors legyen.
Praktikus és sokoldalú kialakítás a mindennapokban
Ez a vezetékrendező különösen alkalmas akár 30 méteres hosszabbítók feltekerésére, például a Home NV 2-30/OR/1,5 típushoz is ideális választás. A kényelmes fogantyú révén a szállítás gyerekjáték, így bárhová könnyedén magával viheti. Az integrált rögzítési pont lehetővé teszi a csatlakozódugó biztos rögzítését, így nem kell attól tartania, hogy a kábel használat közben szétcsúszik vagy összegabalyodik.
Tartós, helytakarékos megoldás
A vezetékrendező strapabíró műanyagból készült, amely hosszú élettartamot garantál intenzív használat esetén is. A 35 x 16,5 x 8 cm-es méret optimális tárolást biztosít, és mivel a vezetékrendező felakasztható, még több helyet spórolhat meg a műhelyben vagy garázsban. A rendezett kábelek nemcsak esztétikusabbak, hanem jelentősen növelik a biztonságot is, hiszen csökkentik a botlásveszélyt.
Főbb jellemzők:
- Maximális kapacitás: 30 méteres hosszabbító
- Kényelmes fogantyú a könnyű hordozhatóságért
- Rögzíthető csatlakozódugó, amely megkönnyíti a feltekerést
- Felakasztható kialakítás, helytakarékos tároláshoz
- Strapabíró anyag, hosszú élettartamra tervezve
- Méretek: 35 x 16,5 x 8 cm
Ideális választás otthoni és ipari környezetbe
Akár a kertben, akár a műhelyben használ hosszabbítót, a Home NV CR vezetékrendező segít fenntartani a rendet és átláthatóságot. A könnyű, kompakt kialakításának köszönhetően bármilyen munkakörnyezetben megállja a helyét, miközben praktikus funkcióival gyorsabbá és egyszerűbbé teszi a hosszabbítók tárolását.
Válassza a Home NV CR vezetékrendezőt, hogy a hosszabbítók használata többé ne jelentsen problémát! Ezzel a megbízható eszközzel a kábelek mindig kéznél lesznek, és a munka gördülékenyebben halad majd.</t>
        </is>
      </c>
    </row>
    <row r="822">
      <c r="A822" s="3" t="inlineStr">
        <is>
          <t>NV 2-5/OR/1,5</t>
        </is>
      </c>
      <c r="B822" s="2" t="inlineStr">
        <is>
          <t>Home NV 2-5/OR/1,5 hosszabító, 5 m, H05VV-F 3G1,5 mm2 kábel, IP 20 kivitel, 250V~/16A/3680W, pipa alakú dugó és egyenes lengő aljzat, narancssárga színű</t>
        </is>
      </c>
      <c r="C822" s="1" t="n">
        <v>3490.0</v>
      </c>
      <c r="D822" s="7" t="n">
        <f>HYPERLINK("https://www.somogyi.hu/product/home-nv-2-5-or-1-5-hosszabito-5-m-h05vv-f-3g1-5-mm2-kabel-ip-20-kivitel-250v-16a-3680w-pipa-alaku-dugo-es-egyenes-lengo-aljzat-narancssarga-szinu-nv-2-5-or-1-5-17167","https://www.somogyi.hu/product/home-nv-2-5-or-1-5-hosszabito-5-m-h05vv-f-3g1-5-mm2-kabel-ip-20-kivitel-250v-16a-3680w-pipa-alaku-dugo-es-egyenes-lengo-aljzat-narancssarga-szinu-nv-2-5-or-1-5-17167")</f>
        <v>0.0</v>
      </c>
      <c r="E822" s="7" t="n">
        <f>HYPERLINK("https://www.somogyi.hu/data/img/product_main_images/small/17167.jpg","https://www.somogyi.hu/data/img/product_main_images/small/17167.jpg")</f>
        <v>0.0</v>
      </c>
      <c r="F822" s="2" t="inlineStr">
        <is>
          <t>5999084951993</t>
        </is>
      </c>
      <c r="G822" s="4" t="inlineStr">
        <is>
          <t>Egy megbízható és praktikus hosszabbítót keres otthoni használatra? A Home NV 2-5/OR/1,5 hosszabbító ideális választás, ha hosszú és kényelmesen használható elektromos csatlakozást szeretne biztosítani.
Ez a hosszabbító 5 méter hosszú H05VV-F 3G1,5 mm2 kábellel rendelkezik, amelynek köszönhetően nagyobb távolságok áthidalására is alkalmas. Kiválóan használható otthon, ahol a távolabbi elektromos csatlakozások elérése szükséges. A pipa alakú dugó és az egyenes lengő aljzat biztosítja a kényelmes és biztonságos csatlakozást.
A hosszabbító narancssárga színű, ami segít könnyen azonosítani és megkülönböztetni más kábelektől. IP20 védettsége azt jelenti, hogy benti használatra tervezték, védelmet nyújtva közepes méretű, 12mm‑nél nagyobb szilárd dolgok ellen. A hosszabbító 250V~/16A/3680W kapacitással rendelkezik, így számos különböző elektromos eszköz csatlakoztatására alkalmas.
Válassza a NV 2-5/OR/1,5 hosszabbítót, ha egy megbízható, biztonságos és hosszú távú elektromos megoldást keres otthonába. Rendelje meg most, és élvezze a kényelmet és rugalmasságot, amit ez a hosszabbító nyújt!</t>
        </is>
      </c>
    </row>
    <row r="823">
      <c r="A823" s="3" t="inlineStr">
        <is>
          <t>NV 2-30/WH/1,5</t>
        </is>
      </c>
      <c r="B823" s="2" t="inlineStr">
        <is>
          <t>Home NV 2-30/WH/1,5 hosszabbító, 30 m, H05VV-F 3G1,5 mm2 kábel, IP 20 kivitel, 250V~/16A/3680W, pipa alakú dugó és egyenes lengő aljzat, fehér színű</t>
        </is>
      </c>
      <c r="C823" s="1" t="n">
        <v>17390.0</v>
      </c>
      <c r="D823" s="7" t="n">
        <f>HYPERLINK("https://www.somogyi.hu/product/home-nv-2-30-wh-1-5-hosszabbito-30-m-h05vv-f-3g1-5-mm2-kabel-ip-20-kivitel-250v-16a-3680w-pipa-alaku-dugo-es-egyenes-lengo-aljzat-feher-szinu-nv-2-30-wh-1-5-17166","https://www.somogyi.hu/product/home-nv-2-30-wh-1-5-hosszabbito-30-m-h05vv-f-3g1-5-mm2-kabel-ip-20-kivitel-250v-16a-3680w-pipa-alaku-dugo-es-egyenes-lengo-aljzat-feher-szinu-nv-2-30-wh-1-5-17166")</f>
        <v>0.0</v>
      </c>
      <c r="E823" s="7" t="n">
        <f>HYPERLINK("https://www.somogyi.hu/data/img/product_main_images/small/17166.jpg","https://www.somogyi.hu/data/img/product_main_images/small/17166.jpg")</f>
        <v>0.0</v>
      </c>
      <c r="F823" s="2" t="inlineStr">
        <is>
          <t>5999084951986</t>
        </is>
      </c>
      <c r="G823" s="4" t="inlineStr">
        <is>
          <t>Az NV 2-30/WH/1,5 Hosszabbító 30 méter hosszú, fehér színű H05VV-F 3G1,5 mm2 kábellel ellátott, melynek végén pipa alakú dugó és egyenes lengő aljzat található. IP 20 védelemmel. Maximum 3680 W-ig terhelhető.
A háztartásokban mindig szükség van egy megbízható hálózati hosszabbítóra!</t>
        </is>
      </c>
    </row>
    <row r="824">
      <c r="A824" s="3" t="inlineStr">
        <is>
          <t>NV 2-5/GR/1,5</t>
        </is>
      </c>
      <c r="B824" s="2" t="inlineStr">
        <is>
          <t>Home NV 2-5/GR/1,5 hosszabbító, 5 m, H05VV-F 3G1,5 mm2 kábel, IP 20 kivitel, 250V~/16A/3680W, pipa alakú dugó és egyenes lengő aljzat, zöld színű</t>
        </is>
      </c>
      <c r="C824" s="1" t="n">
        <v>3690.0</v>
      </c>
      <c r="D824" s="7" t="n">
        <f>HYPERLINK("https://www.somogyi.hu/product/home-nv-2-5-gr-1-5-hosszabbito-5-m-h05vv-f-3g1-5-mm2-kabel-ip-20-kivitel-250v-16a-3680w-pipa-alaku-dugo-es-egyenes-lengo-aljzat-zold-szinu-nv-2-5-gr-1-5-17165","https://www.somogyi.hu/product/home-nv-2-5-gr-1-5-hosszabbito-5-m-h05vv-f-3g1-5-mm2-kabel-ip-20-kivitel-250v-16a-3680w-pipa-alaku-dugo-es-egyenes-lengo-aljzat-zold-szinu-nv-2-5-gr-1-5-17165")</f>
        <v>0.0</v>
      </c>
      <c r="E824" s="7" t="n">
        <f>HYPERLINK("https://www.somogyi.hu/data/img/product_main_images/small/17165.jpg","https://www.somogyi.hu/data/img/product_main_images/small/17165.jpg")</f>
        <v>0.0</v>
      </c>
      <c r="F824" s="2" t="inlineStr">
        <is>
          <t>5999084951979</t>
        </is>
      </c>
      <c r="G824" s="4" t="inlineStr">
        <is>
          <t>Az NV 2-5/GR/1,5 Hosszabbító 5 méter hosszú, zöld színű H05VV-F 3G1,5 mm2 kábellel ellátott, melynek végén pipa alakú dugó és egyenes lengő aljzat található. IP 20 védelemmel. Maximum 3680 W-ig terhelhető.
A háztartásokban mindig szükség van egy megbízható hálózati hosszabbítóra!</t>
        </is>
      </c>
    </row>
    <row r="825">
      <c r="A825" s="3" t="inlineStr">
        <is>
          <t>NV 2-20/WH/1,5</t>
        </is>
      </c>
      <c r="B825" s="2" t="inlineStr">
        <is>
          <t>Home NV 2-20/WH/1,5 hosszabító, 20 m, H05VV-F 3G1,5 mm2 kábel, IP 20 kivitel, 250V~/16A/3680W, pipa alakú dugó és egyenes lengő aljzat, fehér színű</t>
        </is>
      </c>
      <c r="C825" s="1" t="n">
        <v>11890.0</v>
      </c>
      <c r="D825" s="7" t="n">
        <f>HYPERLINK("https://www.somogyi.hu/product/home-nv-2-20-wh-1-5-hosszabito-20-m-h05vv-f-3g1-5-mm2-kabel-ip-20-kivitel-250v-16a-3680w-pipa-alaku-dugo-es-egyenes-lengo-aljzat-feher-szinu-nv-2-20-wh-1-5-17164","https://www.somogyi.hu/product/home-nv-2-20-wh-1-5-hosszabito-20-m-h05vv-f-3g1-5-mm2-kabel-ip-20-kivitel-250v-16a-3680w-pipa-alaku-dugo-es-egyenes-lengo-aljzat-feher-szinu-nv-2-20-wh-1-5-17164")</f>
        <v>0.0</v>
      </c>
      <c r="E825" s="7" t="n">
        <f>HYPERLINK("https://www.somogyi.hu/data/img/product_main_images/small/17164.jpg","https://www.somogyi.hu/data/img/product_main_images/small/17164.jpg")</f>
        <v>0.0</v>
      </c>
      <c r="F825" s="2" t="inlineStr">
        <is>
          <t>5999084951962</t>
        </is>
      </c>
      <c r="G825" s="4" t="inlineStr">
        <is>
          <t>Az NV 2-20/WH/1,5 Hosszabbító 20 méter hosszú, fehér színű H05VV-F 3G1,5 mm2 kábellel ellátott, melynek végén pipa alakú dugó és egyenes lengő aljzat található. IP 20 védelemmel. Maximum 3680 W-ig terhelhető.
A háztartásokban mindig szükség van egy megbízható hálózati hosszabbítóra!</t>
        </is>
      </c>
    </row>
    <row r="826">
      <c r="A826" s="3" t="inlineStr">
        <is>
          <t>NV 2-10/GR/1,5</t>
        </is>
      </c>
      <c r="B826" s="2" t="inlineStr">
        <is>
          <t>Home NV 2-10/GR/1,5 hosszabbító, 10 m, H05VV-F 3G1,5 mm2 kábel, IP 20 kivitel, 250V~/16A/3680W, pipa alakú dugó és egyenes lengő aljzat, zöld színű</t>
        </is>
      </c>
      <c r="C826" s="1" t="n">
        <v>6690.0</v>
      </c>
      <c r="D826" s="7" t="n">
        <f>HYPERLINK("https://www.somogyi.hu/product/home-nv-2-10-gr-1-5-hosszabbito-10-m-h05vv-f-3g1-5-mm2-kabel-ip-20-kivitel-250v-16a-3680w-pipa-alaku-dugo-es-egyenes-lengo-aljzat-zold-szinu-nv-2-10-gr-1-5-17163","https://www.somogyi.hu/product/home-nv-2-10-gr-1-5-hosszabbito-10-m-h05vv-f-3g1-5-mm2-kabel-ip-20-kivitel-250v-16a-3680w-pipa-alaku-dugo-es-egyenes-lengo-aljzat-zold-szinu-nv-2-10-gr-1-5-17163")</f>
        <v>0.0</v>
      </c>
      <c r="E826" s="7" t="n">
        <f>HYPERLINK("https://www.somogyi.hu/data/img/product_main_images/small/17163.jpg","https://www.somogyi.hu/data/img/product_main_images/small/17163.jpg")</f>
        <v>0.0</v>
      </c>
      <c r="F826" s="2" t="inlineStr">
        <is>
          <t>5999084951955</t>
        </is>
      </c>
      <c r="G826" s="4" t="inlineStr">
        <is>
          <t>Az NV 2-10/GR/1,5 Hosszabbító 10 méter hosszú, zöld színű H05VV-F 3G1,5 mm2 kábellel ellátott, melynek végén pipa alakú dugó és egyenes lengő aljzat található. IP 20 védelemmel. Maximum 3680 W-ig terhelhető.
A háztartásokban mindig szükség van egy megbízható hálózati hosszabbítóra!</t>
        </is>
      </c>
    </row>
    <row r="827">
      <c r="A827" s="3" t="inlineStr">
        <is>
          <t>NV 2-10/WH/1,5</t>
        </is>
      </c>
      <c r="B827" s="2" t="inlineStr">
        <is>
          <t>Home NV 2-10/WH/1,5 hosszabító, 10 m, H05VV-F 3G1,5 mm2 kábel, IP 20 kivitel, 250V~/16A/3680W, pipa alakú dugó és egyenes lengő aljzat, fehér színű</t>
        </is>
      </c>
      <c r="C827" s="1" t="n">
        <v>6390.0</v>
      </c>
      <c r="D827" s="7" t="n">
        <f>HYPERLINK("https://www.somogyi.hu/product/home-nv-2-10-wh-1-5-hosszabito-10-m-h05vv-f-3g1-5-mm2-kabel-ip-20-kivitel-250v-16a-3680w-pipa-alaku-dugo-es-egyenes-lengo-aljzat-feher-szinu-nv-2-10-wh-1-5-16778","https://www.somogyi.hu/product/home-nv-2-10-wh-1-5-hosszabito-10-m-h05vv-f-3g1-5-mm2-kabel-ip-20-kivitel-250v-16a-3680w-pipa-alaku-dugo-es-egyenes-lengo-aljzat-feher-szinu-nv-2-10-wh-1-5-16778")</f>
        <v>0.0</v>
      </c>
      <c r="E827" s="7" t="n">
        <f>HYPERLINK("https://www.somogyi.hu/data/img/product_main_images/small/16778.jpg","https://www.somogyi.hu/data/img/product_main_images/small/16778.jpg")</f>
        <v>0.0</v>
      </c>
      <c r="F827" s="2" t="inlineStr">
        <is>
          <t>5999084948108</t>
        </is>
      </c>
      <c r="G827" s="4" t="inlineStr">
        <is>
          <t>Az NV 2-10/WH/1,5 Hosszabbító 10 méter hosszú, fehér színű H05VV-F 3G1,5 mm2 kábellel ellátott, melynek végén pipa alakú dugó és egyenes lengő aljzat található. IP 20 védelemmel. Maximum 3680 W-ig terhelhető.
A háztartásokban mindig szükség van egy megbízható hálózati hosszabbítóra!</t>
        </is>
      </c>
    </row>
    <row r="828">
      <c r="A828" s="3" t="inlineStr">
        <is>
          <t>NV 12-5/WH</t>
        </is>
      </c>
      <c r="B828" s="2" t="inlineStr">
        <is>
          <t>Home NV 12-5/WH EURO kéteres hosszabbító, 5 m,  H03VVH2-F 2x0,75 mm2 kábel, 250V~/2,5A/max.575W, fehér színű</t>
        </is>
      </c>
      <c r="C828" s="1" t="n">
        <v>2590.0</v>
      </c>
      <c r="D828" s="7" t="n">
        <f>HYPERLINK("https://www.somogyi.hu/product/home-nv-12-5-wh-euro-keteres-hosszabbito-5-m-h03vvh2-f-2x0-75-mm2-kabel-250v-2-5a-max-575w-feher-szinu-nv-12-5-wh-17570","https://www.somogyi.hu/product/home-nv-12-5-wh-euro-keteres-hosszabbito-5-m-h03vvh2-f-2x0-75-mm2-kabel-250v-2-5a-max-575w-feher-szinu-nv-12-5-wh-17570")</f>
        <v>0.0</v>
      </c>
      <c r="E828" s="7" t="n">
        <f>HYPERLINK("https://www.somogyi.hu/data/img/product_main_images/small/17570.jpg","https://www.somogyi.hu/data/img/product_main_images/small/17570.jpg")</f>
        <v>0.0</v>
      </c>
      <c r="F828" s="2" t="inlineStr">
        <is>
          <t>5999084955922</t>
        </is>
      </c>
      <c r="G828" s="4" t="inlineStr">
        <is>
          <t>Elérhetetlen a konnektor, mégis szüksége van áramra? A Home NV 12-5/WH EURO hosszabbító praktikus megoldást kínál, ha otthonában vagy irodájában áramforrásra van szükség olyan helyeken, ahol a dugalj távolabb van a készüléktől. 
Az 5 méter hosszú kábel elegendő mozgásteret biztosít, így könnyedén csatlakoztathatja elektronikai eszközeit, anélkül hogy aggódnia kellene a rövid kábelek miatt. A hosszabbító H03VVH2-F 2x0,75 mm² kábele kiváló minőségű anyagokból készült, amely megfelelően tűri a napi használatot, így hosszú távon is megbízható választás. A maximális teljesítménye 250 V~ / 2,5 A / 575 W, amely ideálissá teszi kisebb háztartási eszközök, irodai berendezések vagy más alacsony fogyasztású készülékek csatlakoztatására. 
A fehér színű kábel elegáns megjelenést biztosít, így diszkréten illeszkedik minden belső térhez, és könnyedén elrejthető a padlón vagy bútorok mögött. Ez a hosszabbító nem csak praktikus, de biztonságos megoldást nyújt, így nyugodt szívvel használhatja mindennapi eszközeinek áramellátására. A kéteres kialakítás egyszerűen kezelhető és jól illeszkedik a mindennapi igényekhez.
Ne hagyja, hogy a távolság akadály legyen! Rendelje meg most a Home NV 12-5/WH EURO hosszabbítót, és élvezze a kényelmes áramhozzáférést bárhol, ahol szüksége van rá!</t>
        </is>
      </c>
    </row>
    <row r="829">
      <c r="A829" s="3" t="inlineStr">
        <is>
          <t>NV 2-3/WH/1,5</t>
        </is>
      </c>
      <c r="B829" s="2" t="inlineStr">
        <is>
          <t>Home NV 2-3/WH/1,5 hosszabító, 3 m, H05VV-F 3G1,5 mm2 kábel, IP 20 kivitel, 250V~/16A/3680W, pipa alakú dugó és egyenes lengő aljzat, fehér színű</t>
        </is>
      </c>
      <c r="C829" s="1" t="n">
        <v>2290.0</v>
      </c>
      <c r="D829" s="7" t="n">
        <f>HYPERLINK("https://www.somogyi.hu/product/home-nv-2-3-wh-1-5-hosszabito-3-m-h05vv-f-3g1-5-mm2-kabel-ip-20-kivitel-250v-16a-3680w-pipa-alaku-dugo-es-egyenes-lengo-aljzat-feher-szinu-nv-2-3-wh-1-5-16776","https://www.somogyi.hu/product/home-nv-2-3-wh-1-5-hosszabito-3-m-h05vv-f-3g1-5-mm2-kabel-ip-20-kivitel-250v-16a-3680w-pipa-alaku-dugo-es-egyenes-lengo-aljzat-feher-szinu-nv-2-3-wh-1-5-16776")</f>
        <v>0.0</v>
      </c>
      <c r="E829" s="7" t="n">
        <f>HYPERLINK("https://www.somogyi.hu/data/img/product_main_images/small/16776.jpg","https://www.somogyi.hu/data/img/product_main_images/small/16776.jpg")</f>
        <v>0.0</v>
      </c>
      <c r="F829" s="2" t="inlineStr">
        <is>
          <t>5999084948085</t>
        </is>
      </c>
      <c r="G829" s="4" t="inlineStr">
        <is>
          <t>Az NV 2-3/WH/1,5 Hosszabbító 3 méter hosszú, fehér színű H05VV-F 3G1,5 mm2 kábellel ellátott, melynek végén pipa alakú dugó és egyenes lengő aljzat található. IP 20 védelemmel. Maximum 3680 W-ig terhelhető.
A háztartásokban mindig szükség van egy megbízható hálózati hosszabbítóra!</t>
        </is>
      </c>
    </row>
    <row r="830">
      <c r="A830" s="3" t="inlineStr">
        <is>
          <t>NV 12-5/BK</t>
        </is>
      </c>
      <c r="B830" s="2" t="inlineStr">
        <is>
          <t>Home NV 12-5/BK EURO kéteres hosszabbító, 5 m,  H03VVH2-F 2x0,75 mm2 kábel, 250V~/2,5A/max.575W, fekete színű</t>
        </is>
      </c>
      <c r="C830" s="1" t="n">
        <v>2590.0</v>
      </c>
      <c r="D830" s="7" t="n">
        <f>HYPERLINK("https://www.somogyi.hu/product/home-nv-12-5-bk-euro-keteres-hosszabbito-5-m-h03vvh2-f-2x0-75-mm2-kabel-250v-2-5a-max-575w-fekete-szinu-nv-12-5-bk-17571","https://www.somogyi.hu/product/home-nv-12-5-bk-euro-keteres-hosszabbito-5-m-h03vvh2-f-2x0-75-mm2-kabel-250v-2-5a-max-575w-fekete-szinu-nv-12-5-bk-17571")</f>
        <v>0.0</v>
      </c>
      <c r="E830" s="7" t="n">
        <f>HYPERLINK("https://www.somogyi.hu/data/img/product_main_images/small/17571.jpg","https://www.somogyi.hu/data/img/product_main_images/small/17571.jpg")</f>
        <v>0.0</v>
      </c>
      <c r="F830" s="2" t="inlineStr">
        <is>
          <t>5999084955939</t>
        </is>
      </c>
      <c r="G830" s="4" t="inlineStr">
        <is>
          <t>Elérhetetlen a konnektor, mégis szüksége van áramra? A Home NV 12-5/BK EURO hosszabbító praktikus megoldást kínál, ha otthonában vagy irodájában áramforrásra van szükség olyan helyeken, ahol a dugalj távolabb van a készüléktől. 
Az 5 méter hosszú kábel elegendő mozgásteret biztosít, így könnyedén csatlakoztathatja elektronikai eszközeit, anélkül hogy aggódnia kellene a rövid kábelek miatt. A hosszabbító H03VVH2-F 2x0,75 mm² kábele kiváló minőségű anyagokból készült, amely megfelelően tűri a napi használatot, így hosszú távon is megbízható választás. A maximális teljesítménye 250 V~ / 2,5 A / 575 W, amely ideálissá teszi kisebb háztartási eszközök, irodai berendezések vagy más alacsony fogyasztású készülékek csatlakoztatására. 
A fekete színű kábel elegáns megjelenést biztosít, így diszkréten illeszkedik minden belső térhez, és könnyedén elrejthető a padlón vagy bútorok mögött. Ez a hosszabbító nem csak praktikus, de biztonságos megoldást nyújt, így nyugodt szívvel használhatja mindennapi eszközeinek áramellátására. A kéteres kialakítás egyszerűen kezelhető és jól illeszkedik a mindennapi igényekhez.
Ne hagyja, hogy a távolság akadály legyen! Rendelje meg most a Home NV 12-5/BK EURO hosszabbítót, és élvezze a kényelmes áramhozzáférést bárhol, ahol szüksége van rá!</t>
        </is>
      </c>
    </row>
    <row r="831">
      <c r="A831" s="3" t="inlineStr">
        <is>
          <t>NV 2-10/OR/1,5</t>
        </is>
      </c>
      <c r="B831" s="2" t="inlineStr">
        <is>
          <t>Home NV 2-10/OR/1,5 hosszabító, 10 m, H05VV-F 3G1,5 mm2 kábel, IP 20 kivitel, 250V~/16A/3680W, pipa alakú dugó és egyenes lengő aljzat, narancssárga színű</t>
        </is>
      </c>
      <c r="C831" s="1" t="n">
        <v>6390.0</v>
      </c>
      <c r="D831" s="7" t="n">
        <f>HYPERLINK("https://www.somogyi.hu/product/home-nv-2-10-or-1-5-hosszabito-10-m-h05vv-f-3g1-5-mm2-kabel-ip-20-kivitel-250v-16a-3680w-pipa-alaku-dugo-es-egyenes-lengo-aljzat-narancssarga-szinu-nv-2-10-or-1-5-13367","https://www.somogyi.hu/product/home-nv-2-10-or-1-5-hosszabito-10-m-h05vv-f-3g1-5-mm2-kabel-ip-20-kivitel-250v-16a-3680w-pipa-alaku-dugo-es-egyenes-lengo-aljzat-narancssarga-szinu-nv-2-10-or-1-5-13367")</f>
        <v>0.0</v>
      </c>
      <c r="E831" s="7" t="n">
        <f>HYPERLINK("https://www.somogyi.hu/data/img/product_main_images/small/13367.jpg","https://www.somogyi.hu/data/img/product_main_images/small/13367.jpg")</f>
        <v>0.0</v>
      </c>
      <c r="F831" s="2" t="inlineStr">
        <is>
          <t>5999084914530</t>
        </is>
      </c>
      <c r="G831" s="4" t="inlineStr">
        <is>
          <t>Egy megbízható és praktikus hosszabbítót keres otthoni használatra? A Home NV 2-10/OR/1,5 hosszabbító ideális választás, ha hosszú és kényelmesen használható elektromos csatlakozást szeretne biztosítani.
Ez a hosszabbító egy 10 méter hosszú H05VV-F 3G1,5 mm2 kábellel rendelkezik, amelynek köszönhetően nagyobb távolságok áthidalására is alkalmas. Kiválóan használható otthon, ahol a távolabbi elektromos csatlakozások elérése szükséges. A pipa alakú dugó és az egyenes lengő aljzat biztosítja a kényelmes és biztonságos csatlakozást.
A hosszabbító narancssárga színű, ami segít könnyen azonosítani és megkülönböztetni más kábelektől. IP20 védettsége azt jelenti, hogy benti használatra tervezték, védelmet nyújtva közepes méretű, 12mm‑nél nagyobb szilárd dolgok ellen. A hosszabbító 250V~/16A/3680W kapacitással rendelkezik, így számos különböző elektromos eszköz csatlakoztatására alkalmas.
Válassza a Home NV 2-10/OR/1,5 hosszabbítót, ha egy megbízható, biztonságos és hosszú távú elektromos megoldást keres otthonába. Rendelje meg most, és élvezze a kényelmet és rugalmasságot, amit ez a hosszabbító nyújt!</t>
        </is>
      </c>
    </row>
    <row r="832">
      <c r="A832" s="3" t="inlineStr">
        <is>
          <t>NV 4-20/OR/1,5</t>
        </is>
      </c>
      <c r="B832" s="2" t="inlineStr">
        <is>
          <t>Home NV 4-20/OR/1,5 kéteres hosszabbító, 20 m, H05VV-F 2 x 1,5 mm2 kábel, IP 20 kivitel, 250V~/16A/3680W, narancssárga színű</t>
        </is>
      </c>
      <c r="C832" s="1" t="n">
        <v>7290.0</v>
      </c>
      <c r="D832" s="7" t="n">
        <f>HYPERLINK("https://www.somogyi.hu/product/home-nv-4-20-or-1-5-keteres-hosszabbito-20-m-h05vv-f-2-x-1-5-mm2-kabel-ip-20-kivitel-250v-16a-3680w-narancssarga-szinu-nv-4-20-or-1-5-17501","https://www.somogyi.hu/product/home-nv-4-20-or-1-5-keteres-hosszabbito-20-m-h05vv-f-2-x-1-5-mm2-kabel-ip-20-kivitel-250v-16a-3680w-narancssarga-szinu-nv-4-20-or-1-5-17501")</f>
        <v>0.0</v>
      </c>
      <c r="E832" s="7" t="n">
        <f>HYPERLINK("https://www.somogyi.hu/data/img/product_main_images/small/17501.jpg","https://www.somogyi.hu/data/img/product_main_images/small/17501.jpg")</f>
        <v>0.0</v>
      </c>
      <c r="F832" s="2" t="inlineStr">
        <is>
          <t>5999084955236</t>
        </is>
      </c>
      <c r="G832" s="4" t="inlineStr">
        <is>
          <t>Keres hosszabbítót, amely elegendő hosszúságot és biztonságos működést kínál beltéri használatra?
A Home NV 4-20/OR/1,5 kéteres hosszabbító egy megbízható megoldás mindazok számára, akik földelést nem igénylő készülékekhez keresnek strapabíró, hosszú távon is biztonságosan használható hosszabbítót. Az élénk narancssárga színű, 20 méteres kábel kiváló láthatóságot biztosít, így elkerülhetők a balesetek és az esetleges sérülések a kábel használata közben.
Műszaki jellemzők a megbízható működés érdekében
Ez a hosszabbító H05VV-F 2 x 1,5 mm² keresztmetszetű kábelekkel készült, amelyek megfelelő vezetőképességet és biztonságot nyújtanak nagyobb teljesítményű eszközök számára is. A hosszabbító maximális teljesítménye 3680 W, névleges feszültsége 250 V~, és maximálisan 16 A áramerősségre képes, így ideális választás háztartási gépek, világítótestek és egyéb elektromos eszközök áramellátásához.
Biztonságos használat beltéri környezetben
Az IP20 kivitel kifejezetten beltéri, száraz körülmények közötti használatra teszi alkalmassá a hosszabbítót. Fontos, hogy kizárólag olyan készülékekhez használja, amelyek nem igényelnek földelést. Az élénk színnek köszönhetően jól látható a földön vagy más felületen, így a véletlen botlások esélye minimálisra csökken.
További jellemzők és előnyök:
- 20 méter hosszú kábel, amely nagy hatótávolságot biztosít
- H05VV-F 2 x 1,5 mm² vezeték a megbízható áramellátás érdekében
- Maximális teljesítmény: 3680 W, ideális nagy teljesítményű készülékekhez
- Narancssárga szín a jobb láthatóságért
- IP20 kivitel, kizárólag beltéri használatra
Miért érdemes ezt a hosszabbítót választani?
Ha megbízható, hosszú élettartamú hosszabbítót keres földelést nem igénylő készülékekhez, a Home NV 4-20/OR/1,5 ideális választás. A 20 méteres kábelhossz elegendő rugalmasságot biztosít, akár nagyobb terekben is. Az élénk színű burkolatnak köszönhetően könnyen észrevehető, így minimalizálható a balesetveszély. Válassza a Home NV 4-20/OR/1,5 hosszabbítót, és élvezze a biztonságos és kényelmes áramellátást minden helyzetben!</t>
        </is>
      </c>
    </row>
    <row r="833">
      <c r="A833" s="3" t="inlineStr">
        <is>
          <t>NV 2-5/WH/1,5</t>
        </is>
      </c>
      <c r="B833" s="2" t="inlineStr">
        <is>
          <t>Home NV 2-5/WH/1,5 hosszabító, 5 m, H05VV-F 3G1,5 mm2 kábel, IP 20 kivitel, 250V~/16A/3680W, pipa alakú dugó és egyenes lengő aljzat, fehér színű</t>
        </is>
      </c>
      <c r="C833" s="1" t="n">
        <v>3490.0</v>
      </c>
      <c r="D833" s="7" t="n">
        <f>HYPERLINK("https://www.somogyi.hu/product/home-nv-2-5-wh-1-5-hosszabito-5-m-h05vv-f-3g1-5-mm2-kabel-ip-20-kivitel-250v-16a-3680w-pipa-alaku-dugo-es-egyenes-lengo-aljzat-feher-szinu-nv-2-5-wh-1-5-16777","https://www.somogyi.hu/product/home-nv-2-5-wh-1-5-hosszabito-5-m-h05vv-f-3g1-5-mm2-kabel-ip-20-kivitel-250v-16a-3680w-pipa-alaku-dugo-es-egyenes-lengo-aljzat-feher-szinu-nv-2-5-wh-1-5-16777")</f>
        <v>0.0</v>
      </c>
      <c r="E833" s="7" t="n">
        <f>HYPERLINK("https://www.somogyi.hu/data/img/product_main_images/small/16777.jpg","https://www.somogyi.hu/data/img/product_main_images/small/16777.jpg")</f>
        <v>0.0</v>
      </c>
      <c r="F833" s="2" t="inlineStr">
        <is>
          <t>5999084948092</t>
        </is>
      </c>
      <c r="G833" s="4" t="inlineStr">
        <is>
          <t>Az NV 2-5/WH/1,5 Hosszabbító 5 méter hosszú, fehér színű H05VV-F 3G1,5 mm2 kábellel ellátott, melynek végén pipa alakú dugó és egyenes lengő aljzat található. IP 20 védelemmel. Maximum 3680 W-ig terhelhető.
A háztartásokban mindig szükség van egy megbízható hálózati hosszabbítóra!</t>
        </is>
      </c>
    </row>
    <row r="834">
      <c r="A834" s="6" t="inlineStr">
        <is>
          <t xml:space="preserve">   Villamosság / Szerelhető elosztó</t>
        </is>
      </c>
      <c r="B834" s="6" t="inlineStr">
        <is>
          <t/>
        </is>
      </c>
      <c r="C834" s="6" t="inlineStr">
        <is>
          <t/>
        </is>
      </c>
      <c r="D834" s="6" t="inlineStr">
        <is>
          <t/>
        </is>
      </c>
      <c r="E834" s="6" t="inlineStr">
        <is>
          <t/>
        </is>
      </c>
      <c r="F834" s="6" t="inlineStr">
        <is>
          <t/>
        </is>
      </c>
      <c r="G834" s="6" t="inlineStr">
        <is>
          <t/>
        </is>
      </c>
    </row>
    <row r="835">
      <c r="A835" s="3" t="inlineStr">
        <is>
          <t>KNV 04</t>
        </is>
      </c>
      <c r="B835" s="2" t="inlineStr">
        <is>
          <t>Home KNV 04 szerelhető konyhai hálózati elosztó, 3 védőérintkezős aljzat, rozsdamentes acél, felszerelés sarokba is, max. 3680W</t>
        </is>
      </c>
      <c r="C835" s="1" t="n">
        <v>11190.0</v>
      </c>
      <c r="D835" s="7" t="n">
        <f>HYPERLINK("https://www.somogyi.hu/product/home-knv-04-szerelheto-konyhai-halozati-eloszto-3-vedoerintkezos-aljzat-rozsdamentes-acel-felszereles-sarokba-is-max-3680w-knv-04-16273","https://www.somogyi.hu/product/home-knv-04-szerelheto-konyhai-halozati-eloszto-3-vedoerintkezos-aljzat-rozsdamentes-acel-felszereles-sarokba-is-max-3680w-knv-04-16273")</f>
        <v>0.0</v>
      </c>
      <c r="E835" s="7" t="n">
        <f>HYPERLINK("https://www.somogyi.hu/data/img/product_main_images/small/16273.jpg","https://www.somogyi.hu/data/img/product_main_images/small/16273.jpg")</f>
        <v>0.0</v>
      </c>
      <c r="F835" s="2" t="inlineStr">
        <is>
          <t>5999084943059</t>
        </is>
      </c>
      <c r="G835" s="4" t="inlineStr">
        <is>
          <t>A KNV 04 Szerelhető konyhai elosztó rozsdamentes acél kivitelben készült, 4 db földelt aljzattal. A biztonságos használat érdekében gyermekvédelemmel ellátott. Maximum 3680 W-ig terhelhető. Praktikus kialakításának köszönhetően elhelyezheti vízszintesen vagy függőlegesen falra, sarokba, pultra, de akár felső szekrény alá is konyhájában. Rögzítheti öntapadós tépőzárral vagy csavarokkal. 
(A csavarokat nem tartalmazza a csomag.) Az elosztó kizárólag 3x 1,5 mm2 vezetékkel szerelhető. 
Vásároljon megbízható hálózati elosztót és oldja meg egyszerűen a konyhai elektromos eszközei tápellátását egy helyről.</t>
        </is>
      </c>
    </row>
    <row r="836">
      <c r="A836" s="3" t="inlineStr">
        <is>
          <t>NV 06K</t>
        </is>
      </c>
      <c r="B836" s="2" t="inlineStr">
        <is>
          <t>Home NV 06K hálózati elosztó, szerelhető, 6 gyermekvédelemmel ellátott kapcsolós aljzat, max. 3500W, fehér</t>
        </is>
      </c>
      <c r="C836" s="1" t="n">
        <v>2390.0</v>
      </c>
      <c r="D836" s="7" t="n">
        <f>HYPERLINK("https://www.somogyi.hu/product/home-nv-06k-halozati-eloszto-szerelheto-6-gyermekvedelemmel-ellatott-kapcsolos-aljzat-max-3500w-feher-nv-06k-14302","https://www.somogyi.hu/product/home-nv-06k-halozati-eloszto-szerelheto-6-gyermekvedelemmel-ellatott-kapcsolos-aljzat-max-3500w-feher-nv-06k-14302")</f>
        <v>0.0</v>
      </c>
      <c r="E836" s="7" t="n">
        <f>HYPERLINK("https://www.somogyi.hu/data/img/product_main_images/small/14302.jpg","https://www.somogyi.hu/data/img/product_main_images/small/14302.jpg")</f>
        <v>0.0</v>
      </c>
      <c r="F836" s="2" t="inlineStr">
        <is>
          <t>5999084923501</t>
        </is>
      </c>
      <c r="G836" s="4" t="inlineStr">
        <is>
          <t>Vásároljon kapcsolóval ellátott szerelhető hálózati elosztót! Az NV 06K fehér színű elosztón 6 földelt aljzat található. A termékhez 3 x 1,5 mm²-es vezeték szerelhető. Felhasználhatósága: 250 V~ / 16 A / 3500 W. Válassza a minőségi termékeket és rendeljen webáruházunkból!</t>
        </is>
      </c>
    </row>
    <row r="837">
      <c r="A837" s="3" t="inlineStr">
        <is>
          <t>NV 03</t>
        </is>
      </c>
      <c r="B837" s="2" t="inlineStr">
        <is>
          <t>Home NV 03 hálózati elosztó, szerelhető, 3 gyermekvédelemmel ellátott aljzat, falra akasztható, max. 3500W, fehér</t>
        </is>
      </c>
      <c r="C837" s="1" t="n">
        <v>1190.0</v>
      </c>
      <c r="D837" s="7" t="n">
        <f>HYPERLINK("https://www.somogyi.hu/product/home-nv-03-halozati-eloszto-szerelheto-3-gyermekvedelemmel-ellatott-aljzat-falra-akaszthato-max-3500w-feher-nv-03-14272","https://www.somogyi.hu/product/home-nv-03-halozati-eloszto-szerelheto-3-gyermekvedelemmel-ellatott-aljzat-falra-akaszthato-max-3500w-feher-nv-03-14272")</f>
        <v>0.0</v>
      </c>
      <c r="E837" s="7" t="n">
        <f>HYPERLINK("https://www.somogyi.hu/data/img/product_main_images/small/14272.jpg","https://www.somogyi.hu/data/img/product_main_images/small/14272.jpg")</f>
        <v>0.0</v>
      </c>
      <c r="F837" s="2" t="inlineStr">
        <is>
          <t>5999084923204</t>
        </is>
      </c>
      <c r="G837" s="4" t="inlineStr">
        <is>
          <t>Vásároljon egy praktikus szerelhető hálózati elosztót! Az NV 03 fehér színű elosztón 3 földelt aljzat található. A termék a könnyed használat érdekében akár falra is akasztható. Az elosztóhoz 3 x 1,5 mm²-es vezeték szerelhető. Felhasználhatósága: 250 V~ / 16 A / 3500 W. Válassza a minőségi termékeket és rendeljen webáruházunkból!</t>
        </is>
      </c>
    </row>
    <row r="838">
      <c r="A838" s="3" t="inlineStr">
        <is>
          <t>KNV 03/USB</t>
        </is>
      </c>
      <c r="B838" s="2" t="inlineStr">
        <is>
          <t xml:space="preserve">Home KNV 03/USB szerelhető konyhai hálózati elosztó USB aljzatokkal, 3 védőérintkezős és 2 USB aljzat, rozsdamentes acél, felszerelés sarokba is, max. 3680 W, </t>
        </is>
      </c>
      <c r="C838" s="1" t="n">
        <v>13390.0</v>
      </c>
      <c r="D838" s="7" t="n">
        <f>HYPERLINK("https://www.somogyi.hu/product/home-knv-03-usb-szerelheto-konyhai-halozati-eloszto-usb-aljzatokkal-3-vedoerintkezos-es-2-usb-aljzat-rozsdamentes-acel-felszereles-sarokba-is-max-3680-w-knv-03-usb-16272","https://www.somogyi.hu/product/home-knv-03-usb-szerelheto-konyhai-halozati-eloszto-usb-aljzatokkal-3-vedoerintkezos-es-2-usb-aljzat-rozsdamentes-acel-felszereles-sarokba-is-max-3680-w-knv-03-usb-16272")</f>
        <v>0.0</v>
      </c>
      <c r="E838" s="7" t="n">
        <f>HYPERLINK("https://www.somogyi.hu/data/img/product_main_images/small/16272.jpg","https://www.somogyi.hu/data/img/product_main_images/small/16272.jpg")</f>
        <v>0.0</v>
      </c>
      <c r="F838" s="2" t="inlineStr">
        <is>
          <t>5999084943042</t>
        </is>
      </c>
      <c r="G838" s="4" t="inlineStr">
        <is>
          <t>A KNV 03/USB Szerelhető konyhai elosztó rozsdamentes acél kivitelben készült, 3 db földelt aljzattal és 2 db extra USB aljzattal. A biztonságos használat érdekében gyermekvédelemmel ellátott. Maximum 3680 W-ig terhelhető. Praktikus kialakításának köszönhetően elhelyezheti vízszintesen vagy függőlegesen falra, sarokba, pultra, de akár felső szekrény alá is konyhájában. Rögzítheti öntapadós tépőzárral vagy csavarokkal. (A csavarokat nem tartalmazza a csomag.) Az elosztó kizárólag 3x 1,5 mm2 vezetékkel szerelhető. 
Vásároljon megbízható hálózati elosztót és oldja meg egyszerűen a konyhai elektromos eszközei tápellátását egy helyről.</t>
        </is>
      </c>
    </row>
    <row r="839">
      <c r="A839" s="3" t="inlineStr">
        <is>
          <t>NV 03K</t>
        </is>
      </c>
      <c r="B839" s="2" t="inlineStr">
        <is>
          <t>Home NV 03K hálózati elosztó, szerelhető, 3 gyermekvédelemmel ellátott kapcsolós aljzat, max. 3500W, fehér</t>
        </is>
      </c>
      <c r="C839" s="1" t="n">
        <v>1750.0</v>
      </c>
      <c r="D839" s="7" t="n">
        <f>HYPERLINK("https://www.somogyi.hu/product/home-nv-03k-halozati-eloszto-szerelheto-3-gyermekvedelemmel-ellatott-kapcsolos-aljzat-max-3500w-feher-nv-03k-14301","https://www.somogyi.hu/product/home-nv-03k-halozati-eloszto-szerelheto-3-gyermekvedelemmel-ellatott-kapcsolos-aljzat-max-3500w-feher-nv-03k-14301")</f>
        <v>0.0</v>
      </c>
      <c r="E839" s="7" t="n">
        <f>HYPERLINK("https://www.somogyi.hu/data/img/product_main_images/small/14301.jpg","https://www.somogyi.hu/data/img/product_main_images/small/14301.jpg")</f>
        <v>0.0</v>
      </c>
      <c r="F839" s="2" t="inlineStr">
        <is>
          <t>5999084923495</t>
        </is>
      </c>
      <c r="G839" s="4" t="inlineStr">
        <is>
          <t>Vásároljon kapcsolóval ellátott szerelhető hálózati elosztót! Az NV 03K fehér színű elosztón 3 földelt aljzat található. A termékhez 3 x 1,5 mm²-es vezeték szerelhető. Felhasználhatósága: 250 V~ / 16 A / 3500 W. Válassza a minőségi termékeket és rendeljen webáruházunkból!</t>
        </is>
      </c>
    </row>
    <row r="840">
      <c r="A840" s="3" t="inlineStr">
        <is>
          <t>NV 04</t>
        </is>
      </c>
      <c r="B840" s="2" t="inlineStr">
        <is>
          <t>Home NV 04 hálózati elosztó, szerelhető, 4 gyermekvédelemmel ellátott aljzat, falra akasztható, max. 3500W, fehér</t>
        </is>
      </c>
      <c r="C840" s="1" t="n">
        <v>1450.0</v>
      </c>
      <c r="D840" s="7" t="n">
        <f>HYPERLINK("https://www.somogyi.hu/product/home-nv-04-halozati-eloszto-szerelheto-4-gyermekvedelemmel-ellatott-aljzat-falra-akaszthato-max-3500w-feher-nv-04-14299","https://www.somogyi.hu/product/home-nv-04-halozati-eloszto-szerelheto-4-gyermekvedelemmel-ellatott-aljzat-falra-akaszthato-max-3500w-feher-nv-04-14299")</f>
        <v>0.0</v>
      </c>
      <c r="E840" s="7" t="n">
        <f>HYPERLINK("https://www.somogyi.hu/data/img/product_main_images/small/14299.jpg","https://www.somogyi.hu/data/img/product_main_images/small/14299.jpg")</f>
        <v>0.0</v>
      </c>
      <c r="F840" s="2" t="inlineStr">
        <is>
          <t>5999084923471</t>
        </is>
      </c>
      <c r="G840" s="4" t="inlineStr">
        <is>
          <t>Vásároljon egy praktikus szerelhető hálózati elosztót! Az NV 04 fehér színű elosztón 4 földelt aljzat  található. A termék a könnyed használat érdekében akár falra is akasztható. Az elosztóhoz 3 x 1,5 mm²-es vezeték szerelhető. Felhasználhatósága: 250 V~ / 16 A / 3500 W. Válassza a minőségi termékeket és rendeljen webáruházunkból!</t>
        </is>
      </c>
    </row>
    <row r="841">
      <c r="A841" s="3" t="inlineStr">
        <is>
          <t>NV 06</t>
        </is>
      </c>
      <c r="B841" s="2" t="inlineStr">
        <is>
          <t>Home NV 06 hálózati elosztó, szerelhető, 6 gyermekvédelemmel ellátott aljzat, falra akasztható, max. 3500W, fehér</t>
        </is>
      </c>
      <c r="C841" s="1" t="n">
        <v>1990.0</v>
      </c>
      <c r="D841" s="7" t="n">
        <f>HYPERLINK("https://www.somogyi.hu/product/home-nv-06-halozati-eloszto-szerelheto-6-gyermekvedelemmel-ellatott-aljzat-falra-akaszthato-max-3500w-feher-nv-06-14303","https://www.somogyi.hu/product/home-nv-06-halozati-eloszto-szerelheto-6-gyermekvedelemmel-ellatott-aljzat-falra-akaszthato-max-3500w-feher-nv-06-14303")</f>
        <v>0.0</v>
      </c>
      <c r="E841" s="7" t="n">
        <f>HYPERLINK("https://www.somogyi.hu/data/img/product_main_images/small/14303.jpg","https://www.somogyi.hu/data/img/product_main_images/small/14303.jpg")</f>
        <v>0.0</v>
      </c>
      <c r="F841" s="2" t="inlineStr">
        <is>
          <t>5999084923518</t>
        </is>
      </c>
      <c r="G841" s="4" t="inlineStr">
        <is>
          <t>Vásároljon egy praktikus szerelhető hálózati elosztót! Az NV 06 fehér színű elosztón 6 földelt aljzat található. A termék a könnyed használat érdekében akár falra is akasztható. Az elosztóhoz 3 x 1,5 mm²-es vezeték szerelhető. Felhasználhatósága: 250 V~ / 16 A / 3500 W. Válassza a minőségi termékeket és rendeljen webáruházunkból!</t>
        </is>
      </c>
    </row>
    <row r="842">
      <c r="A842" s="3" t="inlineStr">
        <is>
          <t>NV 05</t>
        </is>
      </c>
      <c r="B842" s="2" t="inlineStr">
        <is>
          <t>Home NV 05 hálózati elosztó, szerelhető, 5 gyermekvédelemmel ellátott aljzat, falra akasztható, max. 3500W, fehér</t>
        </is>
      </c>
      <c r="C842" s="1" t="n">
        <v>1690.0</v>
      </c>
      <c r="D842" s="7" t="n">
        <f>HYPERLINK("https://www.somogyi.hu/product/home-nv-05-halozati-eloszto-szerelheto-5-gyermekvedelemmel-ellatott-aljzat-falra-akaszthato-max-3500w-feher-nv-05-14300","https://www.somogyi.hu/product/home-nv-05-halozati-eloszto-szerelheto-5-gyermekvedelemmel-ellatott-aljzat-falra-akaszthato-max-3500w-feher-nv-05-14300")</f>
        <v>0.0</v>
      </c>
      <c r="E842" s="7" t="n">
        <f>HYPERLINK("https://www.somogyi.hu/data/img/product_main_images/small/14300.jpg","https://www.somogyi.hu/data/img/product_main_images/small/14300.jpg")</f>
        <v>0.0</v>
      </c>
      <c r="F842" s="2" t="inlineStr">
        <is>
          <t>5999084923488</t>
        </is>
      </c>
      <c r="G842" s="4" t="inlineStr">
        <is>
          <t>Vásároljon egy praktikus szerelhető hálózati elosztót! Az NV 05 fehér színű elosztón 5 földelt aljzat  található. A termék a könnyed használat érdekében akár falra is akasztható. Az elosztóhoz 3 x 1,5 mm²-es vezeték szerelhető. Felhasználhatósága: 250 V~ / 16 A / 3500 W. Válassza a minőségi termékeket és rendeljen webáruházunkból!</t>
        </is>
      </c>
    </row>
    <row r="843">
      <c r="A843" s="6" t="inlineStr">
        <is>
          <t xml:space="preserve">   Villamosság / Aljzat, elosztós aljzat</t>
        </is>
      </c>
      <c r="B843" s="6" t="inlineStr">
        <is>
          <t/>
        </is>
      </c>
      <c r="C843" s="6" t="inlineStr">
        <is>
          <t/>
        </is>
      </c>
      <c r="D843" s="6" t="inlineStr">
        <is>
          <t/>
        </is>
      </c>
      <c r="E843" s="6" t="inlineStr">
        <is>
          <t/>
        </is>
      </c>
      <c r="F843" s="6" t="inlineStr">
        <is>
          <t/>
        </is>
      </c>
      <c r="G843" s="6" t="inlineStr">
        <is>
          <t/>
        </is>
      </c>
    </row>
    <row r="844">
      <c r="A844" s="3" t="inlineStr">
        <is>
          <t>NV 1/WH</t>
        </is>
      </c>
      <c r="B844" s="2" t="inlineStr">
        <is>
          <t>Home NV 1/WH hálózati elosztó, 2 EURO aljzat gyermekvédelemmel ellátva, 2x500W, fehér</t>
        </is>
      </c>
      <c r="C844" s="1" t="n">
        <v>539.0</v>
      </c>
      <c r="D844" s="7" t="n">
        <f>HYPERLINK("https://www.somogyi.hu/product/home-nv-1-wh-halozati-eloszto-2-euro-aljzat-gyermekvedelemmel-ellatva-2x500w-feher-nv-1-wh-1995","https://www.somogyi.hu/product/home-nv-1-wh-halozati-eloszto-2-euro-aljzat-gyermekvedelemmel-ellatva-2x500w-feher-nv-1-wh-1995")</f>
        <v>0.0</v>
      </c>
      <c r="E844" s="7" t="n">
        <f>HYPERLINK("https://www.somogyi.hu/data/img/product_main_images/small/01995.jpg","https://www.somogyi.hu/data/img/product_main_images/small/01995.jpg")</f>
        <v>0.0</v>
      </c>
      <c r="F844" s="2" t="inlineStr">
        <is>
          <t>5998312715512</t>
        </is>
      </c>
      <c r="G844" s="4" t="inlineStr">
        <is>
          <t>Oldja meg könnyedén a berendezések áramellátását és vásároljon egy praktikus euro elosztót. Az NV1/WH elosztó, 2 euro aljzattal rendelkezik. Felhasználhatósága: 250 V~ / 2 x 2,5 A / 2 x 500 W. Válassza a minőségi termékeket és rendeljen webáruházunkból!</t>
        </is>
      </c>
    </row>
    <row r="845">
      <c r="A845" s="3" t="inlineStr">
        <is>
          <t>NV 22-90</t>
        </is>
      </c>
      <c r="B845" s="2" t="inlineStr">
        <is>
          <t>Home NV 22-90 hálózati elosztó, 2 földelt aljzat gyermekvédelemmel ellátva, 90°-ban elfordított aljzat, (max. 3680W), fehér</t>
        </is>
      </c>
      <c r="C845" s="1" t="n">
        <v>999.0</v>
      </c>
      <c r="D845" s="7" t="n">
        <f>HYPERLINK("https://www.somogyi.hu/product/home-nv-22-90-halozati-eloszto-2-foldelt-aljzat-gyermekvedelemmel-ellatva-90-ban-elforditott-aljzat-max-3680w-feher-nv-22-90-13686","https://www.somogyi.hu/product/home-nv-22-90-halozati-eloszto-2-foldelt-aljzat-gyermekvedelemmel-ellatva-90-ban-elforditott-aljzat-max-3680w-feher-nv-22-90-13686")</f>
        <v>0.0</v>
      </c>
      <c r="E845" s="7" t="n">
        <f>HYPERLINK("https://www.somogyi.hu/data/img/product_main_images/small/13686.jpg","https://www.somogyi.hu/data/img/product_main_images/small/13686.jpg")</f>
        <v>0.0</v>
      </c>
      <c r="F845" s="2" t="inlineStr">
        <is>
          <t>5999084917388</t>
        </is>
      </c>
      <c r="G845" s="4" t="inlineStr">
        <is>
          <t>A hagyományos elosztóknál gyakran előfordul, hogy a nagyobb dugók nem férnek el egymás mellett, ezért is praktikus választás minden vásárló számára az elfordított elosztó.
Az NV 22-90 esetében mindez nem probléma, hiszen előnyös kialakítás lehetővé teszi, hogy a dugók vízszintesen kifelé álljanak. A termék felhasználhatósága: 250 V~ / max. 16 A / max. 3500 W. Válassza a minőségi termékeket és rendeljen webáruházunkból!</t>
        </is>
      </c>
    </row>
    <row r="846">
      <c r="A846" s="3" t="inlineStr">
        <is>
          <t>NV 13/WH</t>
        </is>
      </c>
      <c r="B846" s="2" t="inlineStr">
        <is>
          <t>Home NV 13/WH hálózati elosztó, 3 aljzat, 1 védőérintkezős aljzat (max. 3500W), 2 EURO aljzat (max. 500W), fehér</t>
        </is>
      </c>
      <c r="C846" s="1" t="n">
        <v>1050.0</v>
      </c>
      <c r="D846" s="7" t="n">
        <f>HYPERLINK("https://www.somogyi.hu/product/home-nv-13-wh-halozati-eloszto-3-aljzat-1-vedoerintkezos-aljzat-max-3500w-2-euro-aljzat-max-500w-feher-nv-13-wh-2509","https://www.somogyi.hu/product/home-nv-13-wh-halozati-eloszto-3-aljzat-1-vedoerintkezos-aljzat-max-3500w-2-euro-aljzat-max-500w-feher-nv-13-wh-2509")</f>
        <v>0.0</v>
      </c>
      <c r="E846" s="7" t="n">
        <f>HYPERLINK("https://www.somogyi.hu/data/img/product_main_images/small/02509.jpg","https://www.somogyi.hu/data/img/product_main_images/small/02509.jpg")</f>
        <v>0.0</v>
      </c>
      <c r="F846" s="2" t="inlineStr">
        <is>
          <t>5998312728215</t>
        </is>
      </c>
      <c r="G846" s="4" t="inlineStr">
        <is>
          <t>Az NV 13/WH Hálózati elosztón 1 db védőérintkezős aljzat található, amely gyermekvédelemmel ellátott és 3680 W-ig terhelhető. Az elosztó alsó és felső pontján 1-1 db EURO aljzat helyezkedik el, melynek 2x 500 W a terhelhetősége. 
Vásároljon megbízható hálózati elosztót és oldja meg egyszerűen elektromos eszközei tápellátását egy helyről.</t>
        </is>
      </c>
    </row>
    <row r="847">
      <c r="A847" s="3" t="inlineStr">
        <is>
          <t>CUBE1</t>
        </is>
      </c>
      <c r="B847" s="2" t="inlineStr">
        <is>
          <t>Home CUBE1 kocka elosztó USB töltővel, 3 aljzat gyermekvédelemmel, 1db USB C, 2db  USB A, max. 3680 W</t>
        </is>
      </c>
      <c r="C847" s="1" t="n">
        <v>3790.0</v>
      </c>
      <c r="D847" s="7" t="n">
        <f>HYPERLINK("https://www.somogyi.hu/product/home-cube1-kocka-eloszto-usb-toltovel-3-aljzat-gyermekvedelemmel-1db-usb-c-2db-usb-a-max-3680-w-cube1-18847","https://www.somogyi.hu/product/home-cube1-kocka-eloszto-usb-toltovel-3-aljzat-gyermekvedelemmel-1db-usb-c-2db-usb-a-max-3680-w-cube1-18847")</f>
        <v>0.0</v>
      </c>
      <c r="E847" s="7" t="n">
        <f>HYPERLINK("https://www.somogyi.hu/data/img/product_main_images/small/18847.jpg","https://www.somogyi.hu/data/img/product_main_images/small/18847.jpg")</f>
        <v>0.0</v>
      </c>
      <c r="F847" s="2" t="inlineStr">
        <is>
          <t>5999084968533</t>
        </is>
      </c>
      <c r="G847" s="4" t="inlineStr">
        <is>
          <t>Szüksége van egy kompakt, mégis sokoldalú elosztóra, amely biztonságos és kényelmes töltést biztosít minden eszközének? A Home CUBE1 kocka elosztó pontosan ezt nyújtja, hiszen 3 aljzatot és USB töltési lehetőségeket kínál egyetlen praktikus eszközben.
Az elosztó 3 gyermekvédelemmel ellátott aljzata garantálja a biztonságot, míg a 1 USB-C és 2 USB-A töltőaljzatok segítségével egyszerre több eszközt is csatlakoztathat. Maximális teljesítménye 3680 W, így nagyobb háztartási gépek, valamint elektronikai eszközök zavartalan működését is biztosítja. Az USB portok pedig akár 5 V 2,4 A, 12 W teljesítménnyel is képesek feltölteni eszközeit, legyen szó okostelefonról vagy tabletről. Továbbá a világító főkapcsoló kényelmes vezérlést biztosít, és egyszerűen láthatóvá teszi, hogy mikor van áram alatt az eszköz.
Válassza a Home CUBE1 elosztót, ha fontos Önnek a megbízhatóság, a biztonság és a modern technológiai megoldások egyaránt! Tegye egyszerűbbé otthona mindennapjait ezzel a sokoldalú és praktikus elosztóval!</t>
        </is>
      </c>
    </row>
    <row r="848">
      <c r="A848" s="3" t="inlineStr">
        <is>
          <t>CUBE2</t>
        </is>
      </c>
      <c r="B848" s="2" t="inlineStr">
        <is>
          <t>Home CUBE2 kocka elosztó, max. 3680 W, USB töltő, 3 aljzat gyermekvédelemmel, 1,5 m hosszú vezeték</t>
        </is>
      </c>
      <c r="C848" s="1" t="n">
        <v>4890.0</v>
      </c>
      <c r="D848" s="7" t="n">
        <f>HYPERLINK("https://www.somogyi.hu/product/home-cube2-kocka-eloszto-max-3680-w-usb-tolto-3-aljzat-gyermekvedelemmel-1-5-m-hosszu-vezetek-cube2-18849","https://www.somogyi.hu/product/home-cube2-kocka-eloszto-max-3680-w-usb-tolto-3-aljzat-gyermekvedelemmel-1-5-m-hosszu-vezetek-cube2-18849")</f>
        <v>0.0</v>
      </c>
      <c r="E848" s="7" t="n">
        <f>HYPERLINK("https://www.somogyi.hu/data/img/product_main_images/small/18849.jpg","https://www.somogyi.hu/data/img/product_main_images/small/18849.jpg")</f>
        <v>0.0</v>
      </c>
      <c r="F848" s="2" t="inlineStr">
        <is>
          <t>5999084968557</t>
        </is>
      </c>
      <c r="G848" s="4" t="inlineStr">
        <is>
          <t>Szüksége van egy kompakt, praktikus megoldásra, amely egyszerre biztosít áramforrást és USB-töltési lehetőséget? A Home CUBE2 kocka elosztó mindent megad, amire egy modern otthonban vagy irodában szükség lehet. 
Ez az innovatív kialakítású elosztó nemcsak helytakarékos, hanem rendkívül praktikus is, hiszen három, gyermekvédelemmel ellátott aljzattal és integrált USB töltőkkel rendelkezik. A készülék ideális választás azoknak, akik egyszerre több eszközt szeretnének biztonságosan működtetni, miközben okoskészülékeiket gyorsan és kényelmesen tölthetik.
A CUBE2 kocka elosztó különlegessége a beépített USB töltő: 1 db USB-C és 2 db USB-A töltőaljzat, melyek maximális teljesítménye 12 W. Ez azt jelenti, hogy egyszerre akár három USB-s eszközt is tölthet, például okostelefont, táblagépet vagy hordozható akkumulátort. A kocka elosztó 1,5 méter hosszú, masszív H05VV-F 3G1,0 mm-es vezetéke elegendő távolságot biztosít a kényelmes elhelyezéshez, így akár az íróasztalnál, akár a nappaliban vagy a hálószobában is könnyedén használható.
A világító főkapcsoló segítségével egyetlen mozdulattal lekapcsolhatja az egész elosztót, így energiát takaríthat meg és biztonságosabban használhatja az eszközt. A csúszásgátló talpak stabilitást biztosítanak, így az elosztó nem mozdul el a helyéről használat közben. A 230 V~ 50 Hz, 16 A maximális terhelhetőséggel (3680 W) rendelkező elosztó elegendő energiát biztosít bármilyen háztartási vagy irodai készülék számára.
A gyermekvédelemmel ellátott aljzatok különösen biztonságossá teszik a Home CUBE2 elosztót, így nem kell aggódnia, ha gyerekek is vannak a háztartásban. Az egyszerű, modern design tökéletesen illeszkedik bármilyen környezetbe, legyen szó otthoni vagy irodai használatról.
Válassza a Home CUBE2 kocka elosztót, és élvezze a praktikus, többfunkciós áramelosztás előnyeit egy kompakt és elegáns megoldással, amely USB töltési lehetőséget is biztosít! Vásárolja meg még ma, hogy mindig legyen kéznél egy megbízható és hatékony áramforrás!</t>
        </is>
      </c>
    </row>
    <row r="849">
      <c r="A849" s="3" t="inlineStr">
        <is>
          <t>NV 24/WH</t>
        </is>
      </c>
      <c r="B849" s="2" t="inlineStr">
        <is>
          <t>Home NV 24/WH hálózati elosztó, 4 EURO aljzat gyermekvédelemmel ellátva, max. 4 x 500 W, fehér</t>
        </is>
      </c>
      <c r="C849" s="1" t="n">
        <v>859.0</v>
      </c>
      <c r="D849" s="7" t="n">
        <f>HYPERLINK("https://www.somogyi.hu/product/home-nv-24-wh-halozati-eloszto-4-euro-aljzat-gyermekvedelemmel-ellatva-max-4-x-500-w-feher-nv-24-wh-2782","https://www.somogyi.hu/product/home-nv-24-wh-halozati-eloszto-4-euro-aljzat-gyermekvedelemmel-ellatva-max-4-x-500-w-feher-nv-24-wh-2782")</f>
        <v>0.0</v>
      </c>
      <c r="E849" s="7" t="n">
        <f>HYPERLINK("https://www.somogyi.hu/data/img/product_main_images/small/02782.jpg","https://www.somogyi.hu/data/img/product_main_images/small/02782.jpg")</f>
        <v>0.0</v>
      </c>
      <c r="F849" s="2" t="inlineStr">
        <is>
          <t>5998312731062</t>
        </is>
      </c>
      <c r="G849" s="4" t="inlineStr">
        <is>
          <t>Oldja meg könnyedén a berendezések áramellátását és vásároljon egy praktikus euro elosztót. Az NV 24/WH elosztó, 4 euro aljzattal rendelkezik. Felhasználhatósága: 250 V~ / 4 x 2,5 A / 4 x 500 W. Válassza a minőségi termékeket és rendeljen webáruházunkból!</t>
        </is>
      </c>
    </row>
    <row r="850">
      <c r="A850" s="3" t="inlineStr">
        <is>
          <t>NVK 1/WH</t>
        </is>
      </c>
      <c r="B850" s="2" t="inlineStr">
        <is>
          <t>Home NVK 1/WH hálózati aljzat, gyermekvédelemmel ellátva, kapcsolós, IP20 kivitel, max. 3680W, fehér</t>
        </is>
      </c>
      <c r="C850" s="1" t="n">
        <v>1150.0</v>
      </c>
      <c r="D850" s="7" t="n">
        <f>HYPERLINK("https://www.somogyi.hu/product/home-nvk-1-wh-halozati-aljzat-gyermekvedelemmel-ellatva-kapcsolos-ip20-kivitel-max-3680w-feher-nvk-1-wh-8530","https://www.somogyi.hu/product/home-nvk-1-wh-halozati-aljzat-gyermekvedelemmel-ellatva-kapcsolos-ip20-kivitel-max-3680w-feher-nvk-1-wh-8530")</f>
        <v>0.0</v>
      </c>
      <c r="E850" s="7" t="n">
        <f>HYPERLINK("https://www.somogyi.hu/data/img/product_main_images/small/08530.jpg","https://www.somogyi.hu/data/img/product_main_images/small/08530.jpg")</f>
        <v>0.0</v>
      </c>
      <c r="F850" s="2" t="inlineStr">
        <is>
          <t>5998312774250</t>
        </is>
      </c>
      <c r="G850" s="4" t="inlineStr">
        <is>
          <t>Keresse a praktikus, kapcsolóval ellátott hálózati aljzatokat!
Az NVK 1/ WH kapcsolós hálózati aljzat rendkívül előnyös tulajdonságokkal rendelkezik. Egyfelől peremes kialakítása lehetővé teszi az egyszerű használatot, másfelől alkalmas a hálózati készülékek biztonságos be- és kikapcsolására. A termék IP20-as kivitelben készült, továbbá gyermekvédelemmel lett ellátva. 
Felhasználhatósága: 250 V~ / 16 A / 3500 V. Mérete: 53 x 74 x 79 mm. Válassza a minőségi termékeket és rendeljen webáruházunkból!</t>
        </is>
      </c>
    </row>
    <row r="851">
      <c r="A851" s="3" t="inlineStr">
        <is>
          <t>NVT 1/WH</t>
        </is>
      </c>
      <c r="B851" s="2" t="inlineStr">
        <is>
          <t>Home NVT 1/WH túlfeszültség védett hálózati aljzat, gyermekvédelemmel ellátva,  túlfeszültségvédelem 4500 A-ig, IP20 kivitel, max.3680W, fehér</t>
        </is>
      </c>
      <c r="C851" s="1" t="n">
        <v>2190.0</v>
      </c>
      <c r="D851" s="7" t="n">
        <f>HYPERLINK("https://www.somogyi.hu/product/home-nvt-1-wh-tulfeszultseg-vedett-halozati-aljzat-gyermekvedelemmel-ellatva-tulfeszultsegvedelem-4500-a-ig-ip20-kivitel-max-3680w-feher-nvt-1-wh-8531","https://www.somogyi.hu/product/home-nvt-1-wh-tulfeszultseg-vedett-halozati-aljzat-gyermekvedelemmel-ellatva-tulfeszultsegvedelem-4500-a-ig-ip20-kivitel-max-3680w-feher-nvt-1-wh-8531")</f>
        <v>0.0</v>
      </c>
      <c r="E851" s="7" t="n">
        <f>HYPERLINK("https://www.somogyi.hu/data/img/product_main_images/small/08531.jpg","https://www.somogyi.hu/data/img/product_main_images/small/08531.jpg")</f>
        <v>0.0</v>
      </c>
      <c r="F851" s="2" t="inlineStr">
        <is>
          <t>5998312774267</t>
        </is>
      </c>
      <c r="G851" s="4" t="inlineStr">
        <is>
          <t>Ügyeljen a háztartási készülékek védelmére! Az NVT 1/WH túlfeszültségvédett hálózati aljzat minderre alkalmas! A termék IP20 kivitelben készült, továbbá gyermekvédelemmel van ellátva. Felhasználhatósága: 250 V~/ 50 Hz / 16 A / 3500 V. Mérete: 53 x 74 x 79 mm. Válassza a minőségi termékeket és rendeljen webáruházunkból!</t>
        </is>
      </c>
    </row>
    <row r="852">
      <c r="A852" s="3" t="inlineStr">
        <is>
          <t>NVK 3/WH</t>
        </is>
      </c>
      <c r="B852" s="2" t="inlineStr">
        <is>
          <t>Home NVK 3/WH hálózati elosztó, kapcsolós 3 aljzat ( 1 földelt + 2 euró ), 250 V ~/ 50 Hz / 16 A / 3500 W</t>
        </is>
      </c>
      <c r="C852" s="1" t="n">
        <v>1350.0</v>
      </c>
      <c r="D852" s="7" t="n">
        <f>HYPERLINK("https://www.somogyi.hu/product/home-nvk-3-wh-halozati-eloszto-kapcsolos-3-aljzat-1-foldelt-2-euro-250-v-50-hz-16-a-3500-w-nvk-3-wh-8933","https://www.somogyi.hu/product/home-nvk-3-wh-halozati-eloszto-kapcsolos-3-aljzat-1-foldelt-2-euro-250-v-50-hz-16-a-3500-w-nvk-3-wh-8933")</f>
        <v>0.0</v>
      </c>
      <c r="E852" s="7" t="n">
        <f>HYPERLINK("https://www.somogyi.hu/data/img/product_main_images/small/08933.jpg","https://www.somogyi.hu/data/img/product_main_images/small/08933.jpg")</f>
        <v>0.0</v>
      </c>
      <c r="F852" s="2" t="inlineStr">
        <is>
          <t>5998312778135</t>
        </is>
      </c>
      <c r="G852" s="4" t="inlineStr">
        <is>
          <t>Keresse a praktikus, kapcsolóval ellátott hálózati aljzatokat!
Az NVK 3/ WH kapcsolós hálózati aljzat rendkívül előnyös tulajdonságokkal rendelkezik: 2 db euró és 1 db földelt aljzattal van ellátva. A termék további előnye, hogy alkalmas a hálózati készülékek biztonságos be- és kikapcsolására, valamint gyermekvédelemmel ellátott. Masszív kialakítását az IP20-as kivitelben garantálja.
Felhasználhatósága: 250 V~ / 50 Hz /16 A / 3500 V. Válassza a minőségi termékeket és rendeljen webáruházunkból!</t>
        </is>
      </c>
    </row>
    <row r="853">
      <c r="A853" s="3" t="inlineStr">
        <is>
          <t>NV 22</t>
        </is>
      </c>
      <c r="B853" s="2" t="inlineStr">
        <is>
          <t>Home NV 22 hálózati elosztó, 2 földelt aljzat gyermekvédelemmel ellátva, (max. 3680W), fehér</t>
        </is>
      </c>
      <c r="C853" s="1" t="n">
        <v>1090.0</v>
      </c>
      <c r="D853" s="7" t="n">
        <f>HYPERLINK("https://www.somogyi.hu/product/home-nv-22-halozati-eloszto-2-foldelt-aljzat-gyermekvedelemmel-ellatva-max-3680w-feher-nv-22-13685","https://www.somogyi.hu/product/home-nv-22-halozati-eloszto-2-foldelt-aljzat-gyermekvedelemmel-ellatva-max-3680w-feher-nv-22-13685")</f>
        <v>0.0</v>
      </c>
      <c r="E853" s="7" t="n">
        <f>HYPERLINK("https://www.somogyi.hu/data/img/product_main_images/small/13685.jpg","https://www.somogyi.hu/data/img/product_main_images/small/13685.jpg")</f>
        <v>0.0</v>
      </c>
      <c r="F853" s="2" t="inlineStr">
        <is>
          <t>5999084917371</t>
        </is>
      </c>
      <c r="G853" s="4" t="inlineStr">
        <is>
          <t>Az NV 22 egy masszív és megbízható kialakítással rendelkező hálózati elosztó. A termék 2 földelt aljzattal rendelkezik. Felhasználhatósága: 250 V~ / max. 16 A / max. 3500 W. Válassza a minőségi termékeket és rendeljen webáruházunkból!</t>
        </is>
      </c>
    </row>
    <row r="854">
      <c r="A854" s="3" t="inlineStr">
        <is>
          <t>TPF-26</t>
        </is>
      </c>
      <c r="B854" s="2" t="inlineStr">
        <is>
          <t>Home TPF-26 hálózati elosztó, T-alakú, 3 földelt aljzat gyermekvédelemmel, max. 3680W, fehér</t>
        </is>
      </c>
      <c r="C854" s="1" t="n">
        <v>1350.0</v>
      </c>
      <c r="D854" s="7" t="n">
        <f>HYPERLINK("https://www.somogyi.hu/product/home-tpf-26-halozati-eloszto-t-alaku-3-foldelt-aljzat-gyermekvedelemmel-max-3680w-feher-tpf-26-14297","https://www.somogyi.hu/product/home-tpf-26-halozati-eloszto-t-alaku-3-foldelt-aljzat-gyermekvedelemmel-max-3680w-feher-tpf-26-14297")</f>
        <v>0.0</v>
      </c>
      <c r="E854" s="7" t="n">
        <f>HYPERLINK("https://www.somogyi.hu/data/img/product_main_images/small/14297.jpg","https://www.somogyi.hu/data/img/product_main_images/small/14297.jpg")</f>
        <v>0.0</v>
      </c>
      <c r="F854" s="2" t="inlineStr">
        <is>
          <t>5999084923457</t>
        </is>
      </c>
      <c r="G854" s="4" t="inlineStr">
        <is>
          <t>A TPF 26 Hálózati elosztó T- alakú praktikus kialakítással rendelkező áramelosztó típus. Használatával helyet spórolhat meg, mivel az aljzatok előnyös elhelyezkedésének köszönhetően a termék kis helyet foglal el. A hálózati T- elosztó fehér színű, 3 db földelt aljzat található rajta. Maximum 3680 W-ig terhelhető. A biztonságos használat érdekében gyermekvédelemmel ellátott.
Könnyítse meg a háztartási berendezések áramellátását.</t>
        </is>
      </c>
    </row>
    <row r="855">
      <c r="A855" s="3" t="inlineStr">
        <is>
          <t>NV 4 USB</t>
        </is>
      </c>
      <c r="B855" s="2" t="inlineStr">
        <is>
          <t>Home NV 4 USB tálcás USB-s elosztó, 4 földelt aljzat, 4 USB aljzat össz 2,4A, elforgatható csatlakozódugó, max.3680W</t>
        </is>
      </c>
      <c r="C855" s="1" t="n">
        <v>11790.0</v>
      </c>
      <c r="D855" s="7" t="n">
        <f>HYPERLINK("https://www.somogyi.hu/product/home-nv-4-usb-talcas-usb-s-eloszto-4-foldelt-aljzat-4-usb-aljzat-ossz-2-4a-elforgathato-csatlakozodugo-max-3680w-nv-4-usb-17615","https://www.somogyi.hu/product/home-nv-4-usb-talcas-usb-s-eloszto-4-foldelt-aljzat-4-usb-aljzat-ossz-2-4a-elforgathato-csatlakozodugo-max-3680w-nv-4-usb-17615")</f>
        <v>0.0</v>
      </c>
      <c r="E855" s="7" t="n">
        <f>HYPERLINK("https://www.somogyi.hu/data/img/product_main_images/small/17615.jpg","https://www.somogyi.hu/data/img/product_main_images/small/17615.jpg")</f>
        <v>0.0</v>
      </c>
      <c r="F855" s="2" t="inlineStr">
        <is>
          <t>5999084956370</t>
        </is>
      </c>
      <c r="G855" s="4" t="inlineStr">
        <is>
          <t>Szüksége van egy praktikus és sokoldalú elosztóra, amely nemcsak elektromos eszközei, de USB-készülékei számára is elegendő csatlakozási lehetőséget biztosít? A Home NV 4 USB tálcás elosztó tökéletes választás, ha egy megbízható és helytakarékos megoldást keres. 
Az elosztó fali aljzathoz csatlakoztatható, és alulra, valamint felülre rögzíthető tárolótálcákkal van ellátva, amelyek segítenek rendben tartani a kisebb eszközöket és kiegészítőket.
A 90°-kal elfordítható csatlakozódugó biztosítja, hogy az elosztót minden fali aljzathoz könnyedén csatlakoztathatja. A négy földelt aljzat (230V~/max.16A/max.3680W) lehetővé teszi, hogy egyszerre több nagyobb teljesítményű készüléket is használjon. Emellett a négy USB töltőaljzat (5 V/összesen 2400 mA) lehetőséget nyújt mobiltelefonok, táblagépek és más USB-eszközök egyidejű töltésére.
Ne hagyja ki ezt a praktikus és hatékony megoldást, válassza a Home NV 4 USB tálcás elosztót, és élvezze az egyszerű és rendezett csatlakoztatást minden helyzetben!</t>
        </is>
      </c>
    </row>
    <row r="856">
      <c r="A856" s="3" t="inlineStr">
        <is>
          <t>CUBE2P</t>
        </is>
      </c>
      <c r="B856" s="2" t="inlineStr">
        <is>
          <t>Home CUBE2P kocka elosztó, fogyasztásmérővel, max. 3680 W, 3 aljzat gyermekvédelemmel, 1,5 m hosszú vezeték</t>
        </is>
      </c>
      <c r="C856" s="1" t="n">
        <v>5790.0</v>
      </c>
      <c r="D856" s="7" t="n">
        <f>HYPERLINK("https://www.somogyi.hu/product/home-cube2p-kocka-eloszto-fogyasztasmerovel-max-3680-w-3-aljzat-gyermekvedelemmel-1-5-m-hosszu-vezetek-cube2p-18848","https://www.somogyi.hu/product/home-cube2p-kocka-eloszto-fogyasztasmerovel-max-3680-w-3-aljzat-gyermekvedelemmel-1-5-m-hosszu-vezetek-cube2p-18848")</f>
        <v>0.0</v>
      </c>
      <c r="E856" s="7" t="n">
        <f>HYPERLINK("https://www.somogyi.hu/data/img/product_main_images/small/18848.jpg","https://www.somogyi.hu/data/img/product_main_images/small/18848.jpg")</f>
        <v>0.0</v>
      </c>
      <c r="F856" s="2" t="inlineStr">
        <is>
          <t>5999084968540</t>
        </is>
      </c>
      <c r="G856" s="4" t="inlineStr">
        <is>
          <t>Hogyan teheti biztonságosabbá és energiahatékonyabbá otthonát egy intelligens elosztóval? 
A Home CUBE2P kocka elosztó nem csupán egy egyszerű elosztó: fogyasztásmérővel, világító főkapcsolóval és gyermekvédelemmel ellátott aljzataival biztosítja az otthoni elektronikai eszközök hatékony és biztonságos használatát. Max. 3680 W teljesítményigényre tervezték, így ideális választás a nagyobb fogyasztókhoz is.
Intelligens fogyasztáskövetés a hatékony energiafelhasználásért
- Beépített fogyasztásmérő : A Home CUBE2P lehetőséget ad arra, hogy pontosan nyomon kövesse az áramfogyasztást, a feszültséget, az aktuális és összesített fogyasztási adatokat, valamint az energiaköltségeket. Mindezek mellett a CO₂ kibocsátás mértékét is kijelzi, így könnyedén ellenőrizheti, hogy eszközei mennyire környezetbarát módon üzemelnek.
- Beállítható energia egységár : Az elosztó lehetőséget nyújt arra, hogy az aktuális energiaárat beállítsa, így a kijelzőn pontos költségadatokat kapjon. Ez segíti a tudatos energiafelhasználást és hozzájárulhat a költségek csökkentéséhez.
- Memóriafunkció : Az eszköz memóriafunkciója biztosítja, hogy áramszünet esetén sem vesznek el a korábban mért adatok.
Biztonság és praktikum minden helyzetben
- 3 aljzat gyermekvédelemmel : A három védett aljzat garantálja a kisgyermekek biztonságát, miközben továbbra is lehetővé teszi a készülékek kényelmes csatlakoztatását.
- Világító főkapcsoló : A világító főkapcsolóval könnyedén szabályozhatja az elosztó működését, így egyszerre kapcsolhatja ki vagy be a csatlakoztatott eszközöket.
- Csúszásgátló talpakkal : A stabil elhelyezést a csúszásgátló talpak biztosítják, amelyek megakadályozzák az elosztó elmozdulását.
Kényelmes hosszúság és erős kábel
A 1,5 méteres H05VV-F 3G1,5 mm²-es vezeték elegendő rugalmasságot nyújt a különböző helyiségekben való használathoz, miközben az erős kialakítás garantálja a hosszú élettartamot.
Miért válassza a Home CUBE2P kocka elosztót?
- Beépített fogyasztásmérő, amely pontosan nyomon követi az áramfogyasztást és az energiaköltségeket.
- 3 gyermekvédelemmel ellátott aljzat a maximális biztonság érdekében.
- Világító főkapcsoló az egyszerű vezérléshez.
- 1,5 m hosszú, erős kábel, amely tartósságot és rugalmasságot biztosít.
- Stabil csúszásgátló talpakkal a kényelmes használatért.
Válassza a Home CUBE2P elosztót, és élvezze az okos energiafelhasználást, biztonságot és kényelmet otthonában!</t>
        </is>
      </c>
    </row>
    <row r="857">
      <c r="A857" s="3" t="inlineStr">
        <is>
          <t>TPF-36</t>
        </is>
      </c>
      <c r="B857" s="2" t="inlineStr">
        <is>
          <t>Home TPF-36 földelt hálózati "T" elosztó, 3 db földelt aljzat, 250 V~, max. 16 A, max. 3680 W</t>
        </is>
      </c>
      <c r="C857" s="1" t="n">
        <v>1290.0</v>
      </c>
      <c r="D857" s="7" t="n">
        <f>HYPERLINK("https://www.somogyi.hu/product/home-tpf-36-foldelt-halozati-t-eloszto-3-db-foldelt-aljzat-250-v-max-16-a-max-3680-w-tpf-36-15409","https://www.somogyi.hu/product/home-tpf-36-foldelt-halozati-t-eloszto-3-db-foldelt-aljzat-250-v-max-16-a-max-3680-w-tpf-36-15409")</f>
        <v>0.0</v>
      </c>
      <c r="E857" s="7" t="n">
        <f>HYPERLINK("https://www.somogyi.hu/data/img/product_main_images/small/15409.jpg","https://www.somogyi.hu/data/img/product_main_images/small/15409.jpg")</f>
        <v>0.0</v>
      </c>
      <c r="F857" s="2" t="inlineStr">
        <is>
          <t>5999084934439</t>
        </is>
      </c>
      <c r="G857" s="4" t="inlineStr">
        <is>
          <t>Ön is ismeri azt a problémát, amikor több elektromos készüléket kell egyszerre használnia, de kevés a rendelkezésre álló aljzat? A Home TPF-36 földelt hálózati "T" elosztó a tökéletes megoldás erre a gyakori dilemmára.
Ez az elosztó három földelt aljzattal rendelkezik, így egyszerűen és biztonságosan csatlakoztathat hozzá több eszközt is. Kialakításának köszönhetően kiválóan használható otthon, irodában vagy akár műhelyben is. A 250 V~ feszültség, a maximális 16 A áramerősség és a 3680 W teljesítmény biztosítja, hogy akár nagyobb energiaigényű készülékeket is problémamentesen használhat.
A "T" alakú dizájn praktikus és helytakarékos, így az elosztó könnyedén elfér a szűk helyeken is, nem foglal sok teret. Kialakítása biztosítja, hogy a csatlakoztatott készülékek kábelei ne akadályozzák egymást.
Vásárolja meg a Home TPF-36 földelt hálózati "T" elosztót, és felejtse el a kevés aljzat okozta problémákat! Ez az eszköz nemcsak praktikus és hatékony, hanem a mindennapi életben is nélkülözhetetlen segítséget nyújt. Rendelje meg most, és élvezze az egyszerű és biztonságos csatlakoztatás előnyeit!</t>
        </is>
      </c>
    </row>
    <row r="858">
      <c r="A858" s="3" t="inlineStr">
        <is>
          <t>NV 23/WH</t>
        </is>
      </c>
      <c r="B858" s="2" t="inlineStr">
        <is>
          <t>Home NV 23/WH hálózati elosztó, 3 EURO aljzat gyermekvédelemmel ellátva, max. 3 x 500 W, fehér</t>
        </is>
      </c>
      <c r="C858" s="1" t="n">
        <v>759.0</v>
      </c>
      <c r="D858" s="7" t="n">
        <f>HYPERLINK("https://www.somogyi.hu/product/home-nv-23-wh-halozati-eloszto-3-euro-aljzat-gyermekvedelemmel-ellatva-max-3-x-500-w-feher-nv-23-wh-2781","https://www.somogyi.hu/product/home-nv-23-wh-halozati-eloszto-3-euro-aljzat-gyermekvedelemmel-ellatva-max-3-x-500-w-feher-nv-23-wh-2781")</f>
        <v>0.0</v>
      </c>
      <c r="E858" s="7" t="n">
        <f>HYPERLINK("https://www.somogyi.hu/data/img/product_main_images/small/02781.jpg","https://www.somogyi.hu/data/img/product_main_images/small/02781.jpg")</f>
        <v>0.0</v>
      </c>
      <c r="F858" s="2" t="inlineStr">
        <is>
          <t>5998312731055</t>
        </is>
      </c>
      <c r="G858" s="4" t="inlineStr">
        <is>
          <t>Oldja meg könnyedén a berendezések áramellátását és vásároljon egy praktikus euro elosztót. Az NV 23/WH elosztó, 3 euro aljzattal rendelkezik. Felhasználhatósága: 250 V~ / 3 x 2,5 A / 3 x 500 W. Válassza a minőségi termékeket és rendeljen webáruházunkból!</t>
        </is>
      </c>
    </row>
    <row r="859">
      <c r="A859" s="3" t="inlineStr">
        <is>
          <t>NVKO 1</t>
        </is>
      </c>
      <c r="B859" s="2" t="inlineStr">
        <is>
          <t>Home NVKO 1 hálózati aljzat, kapcsolós, kültéri, gyermekvédelemmel ellátva, IP44 védelem, max.3680W</t>
        </is>
      </c>
      <c r="C859" s="1" t="n">
        <v>1550.0</v>
      </c>
      <c r="D859" s="7" t="n">
        <f>HYPERLINK("https://www.somogyi.hu/product/home-nvko-1-halozati-aljzat-kapcsolos-kulteri-gyermekvedelemmel-ellatva-ip44-vedelem-max-3680w-nvko-1-17618","https://www.somogyi.hu/product/home-nvko-1-halozati-aljzat-kapcsolos-kulteri-gyermekvedelemmel-ellatva-ip44-vedelem-max-3680w-nvko-1-17618")</f>
        <v>0.0</v>
      </c>
      <c r="E859" s="7" t="n">
        <f>HYPERLINK("https://www.somogyi.hu/data/img/product_main_images/small/17618.jpg","https://www.somogyi.hu/data/img/product_main_images/small/17618.jpg")</f>
        <v>0.0</v>
      </c>
      <c r="F859" s="2" t="inlineStr">
        <is>
          <t>5999084956400</t>
        </is>
      </c>
      <c r="G859" s="4" t="inlineStr">
        <is>
          <t>Szeretné egyszerűen és biztonságosan kezelni hálózati készülékeit? A Home NVKO 1 hálózati aljzat ideális megoldás lehet!
Ez a hálózati aljzat nemcsak praktikus, de a gyermekvédelemmel ellátott kialakításának köszönhetően biztonságos is. Az egypólusú kapcsolóval könnyedén be- és kikapcsolhatja készülékeit, így mindig kézben tarthatja az irányítást. Kültéri kivitelének (IP44) köszönhetően bátran használhatja szabadban is, legyen szó kerti lámpáról, szökőkútról vagy egyéb eszközökről.
A Home NVKO 1 hálózati aljzat 250 V~, 16 A, és max. 3680 W teljesítménnyel bír, így széles körben alkalmazható. Fontos megjegyezni, hogy a feszültségmentesítés csak a csatlakozódugó kihúzásával lehetséges, így garantálva a maximális biztonságot.
Tegye egyszerűbbé és biztonságosabbá mindennapjait a Home NVKO 1 hálózati aljzattal, és élvezze a praktikus megoldások nyújtotta kényelmet! Szerezze be most, és tapasztalja meg a különbséget!</t>
        </is>
      </c>
    </row>
    <row r="860">
      <c r="A860" s="3" t="inlineStr">
        <is>
          <t>TPF 3K</t>
        </is>
      </c>
      <c r="B860" s="2" t="inlineStr">
        <is>
          <t>Home TPF 3K földelt hálózati "T" elosztó, 3 db földelt aljzat, 3 kapcsoló</t>
        </is>
      </c>
      <c r="C860" s="1" t="n">
        <v>2590.0</v>
      </c>
      <c r="D860" s="7" t="n">
        <f>HYPERLINK("https://www.somogyi.hu/product/home-tpf-3k-foldelt-halozati-t-eloszto-3-db-foldelt-aljzat-3-kapcsolo-tpf-3k-18303","https://www.somogyi.hu/product/home-tpf-3k-foldelt-halozati-t-eloszto-3-db-foldelt-aljzat-3-kapcsolo-tpf-3k-18303")</f>
        <v>0.0</v>
      </c>
      <c r="E860" s="7" t="n">
        <f>HYPERLINK("https://www.somogyi.hu/data/img/product_main_images/small/18303.jpg","https://www.somogyi.hu/data/img/product_main_images/small/18303.jpg")</f>
        <v>0.0</v>
      </c>
      <c r="F860" s="2" t="inlineStr">
        <is>
          <t>5999084963255</t>
        </is>
      </c>
      <c r="G860" s="4" t="inlineStr">
        <is>
          <t>Megunta, hogy minden egyes elektronikai eszközét közösen kell ki- és bekapcsolnia? Ismerje meg a Home TPF 3K földelt "T" elosztót, amely egyszerű megoldást kínál a hálózati készülékek kezelésére.
Három földelt aljzattal rendelkezik, mindegyikhez tartozik egy saját, egypólusú kapcsoló. Így könnyedén irányíthatja az egyes csatlakoztatott eszközök áramellátását anélkül, hogy ki kellene húznia a csatlakozódugókat. Fontos megjegyezni, hogy a teljes biztonság érdekében a készülék csak akkor lesz teljesen feszültségmentes, ha azt kihúzzuk az áramforrásból.
Ezzel a praktikus elosztóval, amely akár 3680 W teljesítményt is képes kezelni, nemcsak időt takaríthat meg, de otthona biztonságát is növelheti. Rendezze áramellátását okosan a Home TPF 3K elosztóval!</t>
        </is>
      </c>
    </row>
    <row r="861">
      <c r="A861" s="3" t="inlineStr">
        <is>
          <t>NV 131/WH</t>
        </is>
      </c>
      <c r="B861" s="2" t="inlineStr">
        <is>
          <t>Home NV 131/WH hálózati elosztó, 3 aljzat, 2 EURO aljzat, 1 védőérintkezős aljzat (max. 3680W), fehér</t>
        </is>
      </c>
      <c r="C861" s="1" t="n">
        <v>1290.0</v>
      </c>
      <c r="D861" s="7" t="n">
        <f>HYPERLINK("https://www.somogyi.hu/product/home-nv-131-wh-halozati-eloszto-3-aljzat-2-euro-aljzat-1-vedoerintkezos-aljzat-max-3680w-feher-nv-131-wh-15408","https://www.somogyi.hu/product/home-nv-131-wh-halozati-eloszto-3-aljzat-2-euro-aljzat-1-vedoerintkezos-aljzat-max-3680w-feher-nv-131-wh-15408")</f>
        <v>0.0</v>
      </c>
      <c r="E861" s="7" t="n">
        <f>HYPERLINK("https://www.somogyi.hu/data/img/product_main_images/small/15408.jpg","https://www.somogyi.hu/data/img/product_main_images/small/15408.jpg")</f>
        <v>0.0</v>
      </c>
      <c r="F861" s="2" t="inlineStr">
        <is>
          <t>5999084934422</t>
        </is>
      </c>
      <c r="G861" s="4" t="inlineStr">
        <is>
          <t>Az NV 131/WH Hálózati elosztón 1 db földelt aljzat és 2 db EURO aljzat található. Használatával helyet spórolhat meg, mivel az aljzatok előnyös elhelyezkedésének köszönhetően a termék kis helyet foglal el. Maximum 3680 W-ig terhelhető. A biztonságos használat érdekében gyermekvédelemmel ellátott.
Vásároljon megbízható hálózati elosztót és oldja meg egyszerűen elektromos eszközei tápellátását egy helyről.</t>
        </is>
      </c>
    </row>
    <row r="862">
      <c r="A862" s="3" t="inlineStr">
        <is>
          <t>TPF-26/GR</t>
        </is>
      </c>
      <c r="B862" s="2" t="inlineStr">
        <is>
          <t>Home TPF-26/GR hálózati elosztó, T-alakú, 3 földelt aljzat gyermekvédelemmel, max. 3680W, zöld</t>
        </is>
      </c>
      <c r="C862" s="1" t="n">
        <v>1390.0</v>
      </c>
      <c r="D862" s="7" t="n">
        <f>HYPERLINK("https://www.somogyi.hu/product/home-tpf-26-gr-halozati-eloszto-t-alaku-3-foldelt-aljzat-gyermekvedelemmel-max-3680w-zold-tpf-26-gr-14921","https://www.somogyi.hu/product/home-tpf-26-gr-halozati-eloszto-t-alaku-3-foldelt-aljzat-gyermekvedelemmel-max-3680w-zold-tpf-26-gr-14921")</f>
        <v>0.0</v>
      </c>
      <c r="E862" s="7" t="n">
        <f>HYPERLINK("https://www.somogyi.hu/data/img/product_main_images/small/14921.jpg","https://www.somogyi.hu/data/img/product_main_images/small/14921.jpg")</f>
        <v>0.0</v>
      </c>
      <c r="F862" s="2" t="inlineStr">
        <is>
          <t>5999084929565</t>
        </is>
      </c>
      <c r="G862" s="4" t="inlineStr">
        <is>
          <t>A TPF 26/G Hálózati elosztó T- alakú praktikus kialakítással rendelkező áramelosztó típus. Használatával helyet spórolhat meg, mivel az aljzatok előnyös elhelyezkedésének köszönhetően a termék kis helyet foglal el. A hálózati T- elosztó zöld színű, 3 db földelt aljzat található rajta. Maximum 3680 W-ig terhelhető. A biztonságos használat érdekében gyermekvédelemmel ellátott.
Könnyítse meg a háztartási berendezések áramellátását.</t>
        </is>
      </c>
    </row>
    <row r="863">
      <c r="A863" s="3" t="inlineStr">
        <is>
          <t>TPF-26/BK</t>
        </is>
      </c>
      <c r="B863" s="2" t="inlineStr">
        <is>
          <t>Home TPF-26/BK hálózati elosztó, T-alakú, 3 földelt aljzat gyermekvédelemmel, max. 3680W, fekete</t>
        </is>
      </c>
      <c r="C863" s="1" t="n">
        <v>1390.0</v>
      </c>
      <c r="D863" s="7" t="n">
        <f>HYPERLINK("https://www.somogyi.hu/product/home-tpf-26-bk-halozati-eloszto-t-alaku-3-foldelt-aljzat-gyermekvedelemmel-max-3680w-fekete-tpf-26-bk-15913","https://www.somogyi.hu/product/home-tpf-26-bk-halozati-eloszto-t-alaku-3-foldelt-aljzat-gyermekvedelemmel-max-3680w-fekete-tpf-26-bk-15913")</f>
        <v>0.0</v>
      </c>
      <c r="E863" s="7" t="n">
        <f>HYPERLINK("https://www.somogyi.hu/data/img/product_main_images/small/15913.jpg","https://www.somogyi.hu/data/img/product_main_images/small/15913.jpg")</f>
        <v>0.0</v>
      </c>
      <c r="F863" s="2" t="inlineStr">
        <is>
          <t>5999084939472</t>
        </is>
      </c>
      <c r="G863" s="4" t="inlineStr">
        <is>
          <t>A TPF 26/BK Hálózati elosztó T- alakú praktikus kialakítással rendelkező áramelosztó típus. Használatával helyet spórolhat meg, mivel az aljzatok előnyös elhelyezkedésének köszönhetően a termék kis helyet foglal el. A hálózati T- elosztó fekete színű, 3 db földelt aljzat található rajta. Maximum 3680 W-ig terhelhető. A biztonságos használat érdekében gyermekvédelemmel ellátott.
Könnyítse meg a háztartási berendezések áramellátását.</t>
        </is>
      </c>
    </row>
    <row r="864">
      <c r="A864" s="6" t="inlineStr">
        <is>
          <t xml:space="preserve">   Villamosság / Szerelhető dugó / aljzat, gyerekvédő hálózati aljzatba</t>
        </is>
      </c>
      <c r="B864" s="6" t="inlineStr">
        <is>
          <t/>
        </is>
      </c>
      <c r="C864" s="6" t="inlineStr">
        <is>
          <t/>
        </is>
      </c>
      <c r="D864" s="6" t="inlineStr">
        <is>
          <t/>
        </is>
      </c>
      <c r="E864" s="6" t="inlineStr">
        <is>
          <t/>
        </is>
      </c>
      <c r="F864" s="6" t="inlineStr">
        <is>
          <t/>
        </is>
      </c>
      <c r="G864" s="6" t="inlineStr">
        <is>
          <t/>
        </is>
      </c>
    </row>
    <row r="865">
      <c r="A865" s="3" t="inlineStr">
        <is>
          <t>NV 10T</t>
        </is>
      </c>
      <c r="B865" s="2" t="inlineStr">
        <is>
          <t>Home NV 10T gyermekvédő hálózati aljzatba, minden védőérintkezős aljzatban alkalmazható, megakadályozza a közvetlen kontaktust, 6db/csomag, átlátszó</t>
        </is>
      </c>
      <c r="C865" s="1" t="n">
        <v>529.0</v>
      </c>
      <c r="D865" s="7" t="n">
        <f>HYPERLINK("https://www.somogyi.hu/product/home-nv-10t-gyermekvedo-halozati-aljzatba-minden-vedoerintkezos-aljzatban-alkalmazhato-megakadalyozza-a-kozvetlen-kontaktust-6db-csomag-atlatszo-nv-10t-14620","https://www.somogyi.hu/product/home-nv-10t-gyermekvedo-halozati-aljzatba-minden-vedoerintkezos-aljzatban-alkalmazhato-megakadalyozza-a-kozvetlen-kontaktust-6db-csomag-atlatszo-nv-10t-14620")</f>
        <v>0.0</v>
      </c>
      <c r="E865" s="7" t="n">
        <f>HYPERLINK("https://www.somogyi.hu/data/img/product_main_images/small/14620.jpg","https://www.somogyi.hu/data/img/product_main_images/small/14620.jpg")</f>
        <v>0.0</v>
      </c>
      <c r="F865" s="2" t="inlineStr">
        <is>
          <t>5999084926625</t>
        </is>
      </c>
      <c r="G865" s="4" t="inlineStr">
        <is>
          <t>A kisgyermekes otthonokban kiemelt jelentősége van annak, hogy a hálózati aljzatokat ellássuk gyermekvédelemmel! Ennek egyik legmegbízhatóbb eszköze az NV 10T-es átlátszó színű gyermekvédő, amely minden védőérintkezős aljzatban alkalmazható.
A termék működésének elve, hogy megakadályozza a közvetlen kontaktust a feszültség alatt álló részekkel. Az aljzat használata a gyermekvédőn látható nyíl irányába történő elfordítás után lehetséges. Egy csomagban 6 db található.
Válassza a minőségi termékeket és rendeljen webáruházunkból!</t>
        </is>
      </c>
    </row>
    <row r="866">
      <c r="A866" s="3" t="inlineStr">
        <is>
          <t>0142H</t>
        </is>
      </c>
      <c r="B866" s="2" t="inlineStr">
        <is>
          <t>GAO 0142H földelt dugvilla középső kábelbevezetéssel, fekete, 250 V~/10A</t>
        </is>
      </c>
      <c r="C866" s="1" t="n">
        <v>639.0</v>
      </c>
      <c r="D866" s="7" t="n">
        <f>HYPERLINK("https://www.somogyi.hu/product/gao-0142h-foldelt-dugvilla-kozepso-kabelbevezetessel-fekete-250-v-10a-0142h-13938","https://www.somogyi.hu/product/gao-0142h-foldelt-dugvilla-kozepso-kabelbevezetessel-fekete-250-v-10a-0142h-13938")</f>
        <v>0.0</v>
      </c>
      <c r="E866" s="7" t="n">
        <f>HYPERLINK("https://www.somogyi.hu/data/img/product_main_images/small/13938.jpg","https://www.somogyi.hu/data/img/product_main_images/small/13938.jpg")</f>
        <v>0.0</v>
      </c>
      <c r="F866" s="2" t="inlineStr">
        <is>
          <t>4004282401421</t>
        </is>
      </c>
      <c r="G866" s="4" t="inlineStr">
        <is>
          <t>Szüksége van egy megbízható és biztonságos dugvillára otthoni vagy irodai használatra? A GAO 0142H földelt dugvilla középső kábelbevezetéssel ideális választás mindazoknak, akik biztonságos és hatékony megoldást keresnek elektromos csatlakoztatáshoz. 
Ez a dugvilla 250 V~ névleges feszültséggel és 10 A névleges áramerősséggel rendelkezik, így megbízható teljesítményt nyújt a mindennapi használat során. A védőföldelés garantálja a biztonságos csatlakoztatást, minimalizálva az áramütés kockázatát. A fekete színű dugvilla elegáns megjelenésével és középső kábelbevezetésével könnyedén illeszkedik bármilyen környezetbe, legyen szó otthoni, irodai vagy ipari felhasználásról. Az IP20 védettségi fokozat azt jelenti, hogy a dugvilla védett a szilárd tárgyak ellen, és alkalmas beltéri használatra.
Válassza a GAO 0142H földelt dugvillát középső kábelbevezetéssel, hogy biztosítsa elektromos eszközei megbízható csatlakoztatását! Rendelje meg most, és élvezze a biztonságos és hatékony használat előnyeit!</t>
        </is>
      </c>
    </row>
    <row r="867">
      <c r="A867" s="3" t="inlineStr">
        <is>
          <t>NEA 1/BK</t>
        </is>
      </c>
      <c r="B867" s="2" t="inlineStr">
        <is>
          <t>Home NEA 1/BK földelt aljzat egyenes kábelvezetéssel, aljzat gyermekvédelemmel, rugalmas törésgátlóval, 3680 W, fekete</t>
        </is>
      </c>
      <c r="C867" s="1" t="n">
        <v>699.0</v>
      </c>
      <c r="D867" s="7" t="n">
        <f>HYPERLINK("https://www.somogyi.hu/product/home-nea-1-bk-foldelt-aljzat-egyenes-kabelvezetessel-aljzat-gyermekvedelemmel-rugalmas-toresgatloval-3680-w-fekete-nea-1-bk-16619","https://www.somogyi.hu/product/home-nea-1-bk-foldelt-aljzat-egyenes-kabelvezetessel-aljzat-gyermekvedelemmel-rugalmas-toresgatloval-3680-w-fekete-nea-1-bk-16619")</f>
        <v>0.0</v>
      </c>
      <c r="E867" s="7" t="n">
        <f>HYPERLINK("https://www.somogyi.hu/data/img/product_main_images/small/16619.jpg","https://www.somogyi.hu/data/img/product_main_images/small/16619.jpg")</f>
        <v>0.0</v>
      </c>
      <c r="F867" s="2" t="inlineStr">
        <is>
          <t>5999084946517</t>
        </is>
      </c>
      <c r="G867" s="4" t="inlineStr">
        <is>
          <t>A NEA 1/BK Földelt aljzat egyenes kábelvezetésű. Maximum 3680 W-ig terhelhető. A biztonságos használat érdekében gyermekvédelemmel ellátott. 
A fekete aljzat rugalmas törésgátlóval felszerelt, így a hozzá csatlakoztatott kábel nem törik majd meg. 
Az aljzathoz nem tartozék a kábel.</t>
        </is>
      </c>
    </row>
    <row r="868">
      <c r="A868" s="3" t="inlineStr">
        <is>
          <t>NGD 02</t>
        </is>
      </c>
      <c r="B868" s="2" t="inlineStr">
        <is>
          <t>Home NGD 02 földelt dugvilla 45°-os kábelvezetéssel, kül- és beltéren is használható, max. 3680 W, fekete</t>
        </is>
      </c>
      <c r="C868" s="1" t="n">
        <v>859.0</v>
      </c>
      <c r="D868" s="7" t="n">
        <f>HYPERLINK("https://www.somogyi.hu/product/home-ngd-02-foldelt-dugvilla-45-os-kabelvezetessel-kul-es-belteren-is-hasznalhato-max-3680-w-fekete-ngd-02-15414","https://www.somogyi.hu/product/home-ngd-02-foldelt-dugvilla-45-os-kabelvezetessel-kul-es-belteren-is-hasznalhato-max-3680-w-fekete-ngd-02-15414")</f>
        <v>0.0</v>
      </c>
      <c r="E868" s="7" t="n">
        <f>HYPERLINK("https://www.somogyi.hu/data/img/product_main_images/small/15414.jpg","https://www.somogyi.hu/data/img/product_main_images/small/15414.jpg")</f>
        <v>0.0</v>
      </c>
      <c r="F868" s="2" t="inlineStr">
        <is>
          <t>5999084934484</t>
        </is>
      </c>
      <c r="G868" s="4" t="inlineStr">
        <is>
          <t>Az NGD 02 Földelt dugvilla 45°-os kábelvezetésű. Maximum 3680 W-ig terhelhető. A fekete színű dugvilla gumírozott anyagú, akasztóval ellátott, kül- és beltéren egyaránt használható. 
A dugvillához nem tartozék a kábel.</t>
        </is>
      </c>
    </row>
    <row r="869">
      <c r="A869" s="3" t="inlineStr">
        <is>
          <t>NED 1/WH</t>
        </is>
      </c>
      <c r="B869" s="2" t="inlineStr">
        <is>
          <t>Home NED 1/WH földelt dugvilla egyenes kábelvezetéssel, rugalmas törésgátlóval, max. 3680 W, fehér</t>
        </is>
      </c>
      <c r="C869" s="1" t="n">
        <v>609.0</v>
      </c>
      <c r="D869" s="7" t="n">
        <f>HYPERLINK("https://www.somogyi.hu/product/home-ned-1-wh-foldelt-dugvilla-egyenes-kabelvezetessel-rugalmas-toresgatloval-max-3680-w-feher-ned-1-wh-15411","https://www.somogyi.hu/product/home-ned-1-wh-foldelt-dugvilla-egyenes-kabelvezetessel-rugalmas-toresgatloval-max-3680-w-feher-ned-1-wh-15411")</f>
        <v>0.0</v>
      </c>
      <c r="E869" s="7" t="n">
        <f>HYPERLINK("https://www.somogyi.hu/data/img/product_main_images/small/15411.jpg","https://www.somogyi.hu/data/img/product_main_images/small/15411.jpg")</f>
        <v>0.0</v>
      </c>
      <c r="F869" s="2" t="inlineStr">
        <is>
          <t>5999084934453</t>
        </is>
      </c>
      <c r="G869" s="4" t="inlineStr">
        <is>
          <t>A NED 1/WH Földelt dugvilla egyenes kábelvezetésű. Maximum 3680 W-ig terhelhető.
A fehér dugvilla rugalmas törésgátlóval ellátott, így a hozzá csatlakoztatott kábel nem törik majd meg. 
A dugvillához nem tartozék a kábel.</t>
        </is>
      </c>
    </row>
    <row r="870">
      <c r="A870" s="3" t="inlineStr">
        <is>
          <t>NGD 03</t>
        </is>
      </c>
      <c r="B870" s="2" t="inlineStr">
        <is>
          <t>Home NGD 03 földelt dugvilla egyenes kábelvezetéssel, kül- és beltéren is használható, max. 3680 W, fehér</t>
        </is>
      </c>
      <c r="C870" s="1" t="n">
        <v>769.0</v>
      </c>
      <c r="D870" s="7" t="n">
        <f>HYPERLINK("https://www.somogyi.hu/product/home-ngd-03-foldelt-dugvilla-egyenes-kabelvezetessel-kul-es-belteren-is-hasznalhato-max-3680-w-feher-ngd-03-15858","https://www.somogyi.hu/product/home-ngd-03-foldelt-dugvilla-egyenes-kabelvezetessel-kul-es-belteren-is-hasznalhato-max-3680-w-feher-ngd-03-15858")</f>
        <v>0.0</v>
      </c>
      <c r="E870" s="7" t="n">
        <f>HYPERLINK("https://www.somogyi.hu/data/img/product_main_images/small/15858.jpg","https://www.somogyi.hu/data/img/product_main_images/small/15858.jpg")</f>
        <v>0.0</v>
      </c>
      <c r="F870" s="2" t="inlineStr">
        <is>
          <t>5999084938925</t>
        </is>
      </c>
      <c r="G870" s="4" t="inlineStr">
        <is>
          <t>Az NGD 03 Földelt dugvilla egyenes kábelvezetésű. Maximum 3680 W-ig terhelhető. A fehér színű dugvilla gumírozott anyagú, kül- és beltéren egyaránt használható.
A dugvillához nem tartozék a kábel.</t>
        </is>
      </c>
    </row>
    <row r="871">
      <c r="A871" s="3" t="inlineStr">
        <is>
          <t>NGA 01</t>
        </is>
      </c>
      <c r="B871" s="2" t="inlineStr">
        <is>
          <t>Home NGA 01 földelt aljzat 45°-os kábelvezetéssel, aljzat gyermekvédelemmel, kül- és beltéren is használható, max. 3680 W, fekete</t>
        </is>
      </c>
      <c r="C871" s="1" t="n">
        <v>1290.0</v>
      </c>
      <c r="D871" s="7" t="n">
        <f>HYPERLINK("https://www.somogyi.hu/product/home-nga-01-foldelt-aljzat-45-os-kabelvezetessel-aljzat-gyermekvedelemmel-kul-es-belteren-is-hasznalhato-max-3680-w-fekete-nga-01-15415","https://www.somogyi.hu/product/home-nga-01-foldelt-aljzat-45-os-kabelvezetessel-aljzat-gyermekvedelemmel-kul-es-belteren-is-hasznalhato-max-3680-w-fekete-nga-01-15415")</f>
        <v>0.0</v>
      </c>
      <c r="E871" s="7" t="n">
        <f>HYPERLINK("https://www.somogyi.hu/data/img/product_main_images/small/15415.jpg","https://www.somogyi.hu/data/img/product_main_images/small/15415.jpg")</f>
        <v>0.0</v>
      </c>
      <c r="F871" s="2" t="inlineStr">
        <is>
          <t>5999084934491</t>
        </is>
      </c>
      <c r="G871" s="4" t="inlineStr">
        <is>
          <t>Az NGA 01 Földelt aljzat 45°-os kábelvezetésű. Maximum 3680 W-ig terhelhető. Az aljzat gumírozott anyagú, kül- és beltéren egyaránt használható. A biztonságos használatot a gyermekvédelem és az aljzaton található fedél biztosítja. 
Az aljzathoz nem tartozék a kábel.</t>
        </is>
      </c>
    </row>
    <row r="872">
      <c r="A872" s="3" t="inlineStr">
        <is>
          <t>NGA 02</t>
        </is>
      </c>
      <c r="B872" s="2" t="inlineStr">
        <is>
          <t>Home NGA 02 földelt dupla aljzat egyenes kábelvezetéssel, 2 aljzat gyermekvédelemmel, kül- és beltéren is használható, max. 3680 W, fekete</t>
        </is>
      </c>
      <c r="C872" s="1" t="n">
        <v>2290.0</v>
      </c>
      <c r="D872" s="7" t="n">
        <f>HYPERLINK("https://www.somogyi.hu/product/home-nga-02-foldelt-dupla-aljzat-egyenes-kabelvezetessel-2-aljzat-gyermekvedelemmel-kul-es-belteren-is-hasznalhato-max-3680-w-fekete-nga-02-15859","https://www.somogyi.hu/product/home-nga-02-foldelt-dupla-aljzat-egyenes-kabelvezetessel-2-aljzat-gyermekvedelemmel-kul-es-belteren-is-hasznalhato-max-3680-w-fekete-nga-02-15859")</f>
        <v>0.0</v>
      </c>
      <c r="E872" s="7" t="n">
        <f>HYPERLINK("https://www.somogyi.hu/data/img/product_main_images/small/15859.jpg","https://www.somogyi.hu/data/img/product_main_images/small/15859.jpg")</f>
        <v>0.0</v>
      </c>
      <c r="F872" s="2" t="inlineStr">
        <is>
          <t>5999084938932</t>
        </is>
      </c>
      <c r="G872" s="4" t="inlineStr">
        <is>
          <t>Az NGA 02 Földelt dupla aljzat egyenes kábelvezetésű. Maximum 3680 W-ig terhelhető. Az aljzat gumírozott anyagú, kül- és beltéren egyaránt használható. A biztonságos használatot a gyermekvédelem és az aljzaton található fedél biztosítja. 
Az aljzathoz nem tartozék a kábel.</t>
        </is>
      </c>
    </row>
    <row r="873">
      <c r="A873" s="3" t="inlineStr">
        <is>
          <t>NED 1/BK</t>
        </is>
      </c>
      <c r="B873" s="2" t="inlineStr">
        <is>
          <t>Home NED 1/BK földelt dugvilla egyenes kábelvezetéssel, rugalmas törésgátlóval, max. 3680 W, fekete</t>
        </is>
      </c>
      <c r="C873" s="1" t="n">
        <v>609.0</v>
      </c>
      <c r="D873" s="7" t="n">
        <f>HYPERLINK("https://www.somogyi.hu/product/home-ned-1-bk-foldelt-dugvilla-egyenes-kabelvezetessel-rugalmas-toresgatloval-max-3680-w-fekete-ned-1-bk-16886","https://www.somogyi.hu/product/home-ned-1-bk-foldelt-dugvilla-egyenes-kabelvezetessel-rugalmas-toresgatloval-max-3680-w-fekete-ned-1-bk-16886")</f>
        <v>0.0</v>
      </c>
      <c r="E873" s="7" t="n">
        <f>HYPERLINK("https://www.somogyi.hu/data/img/product_main_images/small/16886.jpg","https://www.somogyi.hu/data/img/product_main_images/small/16886.jpg")</f>
        <v>0.0</v>
      </c>
      <c r="F873" s="2" t="inlineStr">
        <is>
          <t>5999084949181</t>
        </is>
      </c>
      <c r="G873" s="4" t="inlineStr">
        <is>
          <t>A NED 1/BK Földelt dugvilla egyenes kábelvezetésű. Maximum 3680 W-ig terhelhető. 
A fekete dugvilla rugalmas törésgátlóval ellátott, így a hozzá csatlakoztatott kábel nem törik majd meg. 
A dugvillához nem tartozék a kábel.</t>
        </is>
      </c>
    </row>
    <row r="874">
      <c r="A874" s="3" t="inlineStr">
        <is>
          <t>0795S</t>
        </is>
      </c>
      <c r="B874" s="2" t="inlineStr">
        <is>
          <t>GAO 0795S földelt dugvilla világító kapcsolóval, max. 3680W, fehér</t>
        </is>
      </c>
      <c r="C874" s="1" t="n">
        <v>1890.0</v>
      </c>
      <c r="D874" s="7" t="n">
        <f>HYPERLINK("https://www.somogyi.hu/product/gao-0795s-foldelt-dugvilla-vilagito-kapcsoloval-max-3680w-feher-0795s-10109","https://www.somogyi.hu/product/gao-0795s-foldelt-dugvilla-vilagito-kapcsoloval-max-3680w-feher-0795s-10109")</f>
        <v>0.0</v>
      </c>
      <c r="E874" s="7" t="n">
        <f>HYPERLINK("https://www.somogyi.hu/data/img/product_main_images/small/10109.jpg","https://www.somogyi.hu/data/img/product_main_images/small/10109.jpg")</f>
        <v>0.0</v>
      </c>
      <c r="F874" s="2" t="inlineStr">
        <is>
          <t>4004282407959</t>
        </is>
      </c>
      <c r="G874" s="4" t="inlineStr">
        <is>
          <t>Ön is olyan dugvillát keres, amely biztonságos és könnyen kezelhető, még sötétben is? A GAO 0795S földelt dugvilla világító kapcsolóval kiváló választás lehet az otthoni elektromos készülékek csatlakoztatásához.
Ez a fehér színű dugvilla 250V~/max. 16A terhelhetőséggel rendelkezik, ami lehetővé teszi, hogy akár 3680 Watt teljesítményű készülékeket is csatlakoztasson hozzá. Az ilyen magas terhelhetőségű dugvilla ideális választás nagyobb teljesítményű háztartási készülékek, például mikrohullámú sütők, kávéfőzők vagy akár nagy teljesítményű számítógépek számára.
A világító kapcsoló a dugvilla különleges funkciója, ami segít a felhasználónak könnyedén azonosítani a bekapcsolt állapotot, még sötétben is. Ez nem csak kényelmi szempontból előnyös, de biztonsági szempontból is, mivel így azonnal látható, ha a dugvilla használatban van.
Válassza a GAO 0795S földelt dugvillát világító kapcsolóval, amennyiben egy megbízható, magas teljesítményű és könnyen kezelhető megoldást keres otthonába. Ez a kis eszköz nemcsak praktikus, de hozzájárul otthona biztonságosabb és kényelmesebb környezetének megteremtéséhez is.</t>
        </is>
      </c>
    </row>
    <row r="875">
      <c r="A875" s="3" t="inlineStr">
        <is>
          <t>NEA 1/WH</t>
        </is>
      </c>
      <c r="B875" s="2" t="inlineStr">
        <is>
          <t>Home NEA 1/WH földelt aljzat egyenes kábelvezetéssel, aljzat gyermekvédelemmel, rugalmas törésgátlóval, 3680 W, fehér</t>
        </is>
      </c>
      <c r="C875" s="1" t="n">
        <v>699.0</v>
      </c>
      <c r="D875" s="7" t="n">
        <f>HYPERLINK("https://www.somogyi.hu/product/home-nea-1-wh-foldelt-aljzat-egyenes-kabelvezetessel-aljzat-gyermekvedelemmel-rugalmas-toresgatloval-3680-w-feher-nea-1-wh-15412","https://www.somogyi.hu/product/home-nea-1-wh-foldelt-aljzat-egyenes-kabelvezetessel-aljzat-gyermekvedelemmel-rugalmas-toresgatloval-3680-w-feher-nea-1-wh-15412")</f>
        <v>0.0</v>
      </c>
      <c r="E875" s="7" t="n">
        <f>HYPERLINK("https://www.somogyi.hu/data/img/product_main_images/small/15412.jpg","https://www.somogyi.hu/data/img/product_main_images/small/15412.jpg")</f>
        <v>0.0</v>
      </c>
      <c r="F875" s="2" t="inlineStr">
        <is>
          <t>5999084934460</t>
        </is>
      </c>
      <c r="G875" s="4" t="inlineStr">
        <is>
          <t>A NEA 1/WH Földelt aljzat egyenes kábelvezetésű. Maximum 3680 W-ig terhelhető. A biztonságos használat érdekében gyermekvédelemmel ellátott. 
A fehér aljzat rugalmas törésgátlóval felszerelt, így a hozzá csatlakoztatott kábel nem törik majd meg. 
Az aljzathoz nem tartozék a kábel.</t>
        </is>
      </c>
    </row>
    <row r="876">
      <c r="A876" s="3" t="inlineStr">
        <is>
          <t>NPD 1/BK</t>
        </is>
      </c>
      <c r="B876" s="2" t="inlineStr">
        <is>
          <t>Home NPD 1/BK földelt dugvilla oldalsó kábelvezetéssel, rugalmas törésgátlóval, max. 3680 W, fekete</t>
        </is>
      </c>
      <c r="C876" s="1" t="n">
        <v>609.0</v>
      </c>
      <c r="D876" s="7" t="n">
        <f>HYPERLINK("https://www.somogyi.hu/product/home-npd-1-bk-foldelt-dugvilla-oldalso-kabelvezetessel-rugalmas-toresgatloval-max-3680-w-fekete-npd-1-bk-16618","https://www.somogyi.hu/product/home-npd-1-bk-foldelt-dugvilla-oldalso-kabelvezetessel-rugalmas-toresgatloval-max-3680-w-fekete-npd-1-bk-16618")</f>
        <v>0.0</v>
      </c>
      <c r="E876" s="7" t="n">
        <f>HYPERLINK("https://www.somogyi.hu/data/img/product_main_images/small/16618.jpg","https://www.somogyi.hu/data/img/product_main_images/small/16618.jpg")</f>
        <v>0.0</v>
      </c>
      <c r="F876" s="2" t="inlineStr">
        <is>
          <t>5999084946500</t>
        </is>
      </c>
      <c r="G876" s="4" t="inlineStr">
        <is>
          <t>Az NPD 1/BK Földelt dugvilla oldalsó kábelvezetésű. Maximum 3680 W-ig terhelhető. 
A fekete dugvilla rugalmas törésgátlóval ellátott, így a hozzá csatlakoztatott kábel nem törik majd meg. 
A dugvillához nem tartozék a kábel.</t>
        </is>
      </c>
    </row>
    <row r="877">
      <c r="A877" s="3" t="inlineStr">
        <is>
          <t>NV FP 2</t>
        </is>
      </c>
      <c r="B877" s="2" t="inlineStr">
        <is>
          <t>Home NV FP 2 földelt csatlakozódugó, IP20 kivitel, extra lapos, max.3680W, fehér</t>
        </is>
      </c>
      <c r="C877" s="1" t="n">
        <v>999.0</v>
      </c>
      <c r="D877" s="7" t="n">
        <f>HYPERLINK("https://www.somogyi.hu/product/home-nv-fp-2-foldelt-csatlakozodugo-ip20-kivitel-extra-lapos-max-3680w-feher-nv-fp-2-14330","https://www.somogyi.hu/product/home-nv-fp-2-foldelt-csatlakozodugo-ip20-kivitel-extra-lapos-max-3680w-feher-nv-fp-2-14330")</f>
        <v>0.0</v>
      </c>
      <c r="E877" s="7" t="n">
        <f>HYPERLINK("https://www.somogyi.hu/data/img/product_main_images/small/14330.jpg","https://www.somogyi.hu/data/img/product_main_images/small/14330.jpg")</f>
        <v>0.0</v>
      </c>
      <c r="F877" s="2" t="inlineStr">
        <is>
          <t>5999084923785</t>
        </is>
      </c>
      <c r="G877" s="4" t="inlineStr">
        <is>
          <t>Gyakori jelenség, hogy a bútorok mögötti hálózatokat nehezen tudjuk kihasználni, mivel a szűk hely miatt nem férnek el a hagyományos csatlakozódugók. Ez esetben rendkívül nagy segítséget tud nyújtani egy lapos csatlakozó dugó.
Ismerje meg az NV FP 2 földelt csatlakozódugót, amely előnyös kialakításának köszönhetően könnyedén használhatóak a bútorok mögött. Felhasználhatósága: 250 V~/ max 16 A / max. 3500 W. Válassza a minőségi termékeket és rendeljen webáruházunkból!</t>
        </is>
      </c>
    </row>
    <row r="878">
      <c r="A878" s="3" t="inlineStr">
        <is>
          <t>NV 10</t>
        </is>
      </c>
      <c r="B878" s="2" t="inlineStr">
        <is>
          <t>Home NV 10 gyermekvédő hálózati aljzatba, minden védőérintkezős aljzatban alkalmazható, megakadályozza a közvetlen kontaktust, 6db/csomag, fehér</t>
        </is>
      </c>
      <c r="C878" s="1" t="n">
        <v>529.0</v>
      </c>
      <c r="D878" s="7" t="n">
        <f>HYPERLINK("https://www.somogyi.hu/product/home-nv-10-gyermekvedo-halozati-aljzatba-minden-vedoerintkezos-aljzatban-alkalmazhato-megakadalyozza-a-kozvetlen-kontaktust-6db-csomag-feher-nv-10-4535","https://www.somogyi.hu/product/home-nv-10-gyermekvedo-halozati-aljzatba-minden-vedoerintkezos-aljzatban-alkalmazhato-megakadalyozza-a-kozvetlen-kontaktust-6db-csomag-feher-nv-10-4535")</f>
        <v>0.0</v>
      </c>
      <c r="E878" s="7" t="n">
        <f>HYPERLINK("https://www.somogyi.hu/data/img/product_main_images/small/04535.jpg","https://www.somogyi.hu/data/img/product_main_images/small/04535.jpg")</f>
        <v>0.0</v>
      </c>
      <c r="F878" s="2" t="inlineStr">
        <is>
          <t>5998312739938</t>
        </is>
      </c>
      <c r="G878" s="4" t="inlineStr">
        <is>
          <t>A kisgyermekes otthonokban kiemelt jelentősége van annak, hogy a hálózati aljzatokat ellássuk gyermekvédelemmel! Ennek egyik legmegbízhatóbb eszköze az NV 10-es fehér színű gyermekvédő, amely minden védőérintkezős aljzatban alkalmazható.
A termék működésének elve, hogy megakadályozza a közvetlen kontaktust a feszültség alatt álló részekkel. Az aljzat használata a gyermekvédőn látható nyíl irányába történő elfordítás után lehetséges. Egy csomagban 6 db található.
Válassza a minőségi termékeket és rendeljen webáruházunkból!</t>
        </is>
      </c>
    </row>
    <row r="879">
      <c r="A879" s="3" t="inlineStr">
        <is>
          <t>NGD 01</t>
        </is>
      </c>
      <c r="B879" s="2" t="inlineStr">
        <is>
          <t>Home NGD 01 földelt dugvilla egyenes kábelvezetéssel, kül- és beltéren is használható, max. 3680 W, fekete</t>
        </is>
      </c>
      <c r="C879" s="1" t="n">
        <v>699.0</v>
      </c>
      <c r="D879" s="7" t="n">
        <f>HYPERLINK("https://www.somogyi.hu/product/home-ngd-01-foldelt-dugvilla-egyenes-kabelvezetessel-kul-es-belteren-is-hasznalhato-max-3680-w-fekete-ngd-01-15413","https://www.somogyi.hu/product/home-ngd-01-foldelt-dugvilla-egyenes-kabelvezetessel-kul-es-belteren-is-hasznalhato-max-3680-w-fekete-ngd-01-15413")</f>
        <v>0.0</v>
      </c>
      <c r="E879" s="7" t="n">
        <f>HYPERLINK("https://www.somogyi.hu/data/img/product_main_images/small/15413.jpg","https://www.somogyi.hu/data/img/product_main_images/small/15413.jpg")</f>
        <v>0.0</v>
      </c>
      <c r="F879" s="2" t="inlineStr">
        <is>
          <t>5999084934477</t>
        </is>
      </c>
      <c r="G879" s="4" t="inlineStr">
        <is>
          <t>Az NGD 01 Földelt dugvilla egyenes kábelvezetésű. Maximum 3680 W-ig terhelhető. A fekete színű dugvilla gumírozott anyagú, kül- és beltéren egyaránt használható. 
A dugvillához nem tartozék a kábel.</t>
        </is>
      </c>
    </row>
    <row r="880">
      <c r="A880" s="3" t="inlineStr">
        <is>
          <t>NPD 1/WH</t>
        </is>
      </c>
      <c r="B880" s="2" t="inlineStr">
        <is>
          <t>Home NPD 1/WH földelt dugvilla oldalsó kábelvezetéssel, rugalmas törésgátlóval, max. 3680 W, fehér</t>
        </is>
      </c>
      <c r="C880" s="1" t="n">
        <v>609.0</v>
      </c>
      <c r="D880" s="7" t="n">
        <f>HYPERLINK("https://www.somogyi.hu/product/home-npd-1-wh-foldelt-dugvilla-oldalso-kabelvezetessel-rugalmas-toresgatloval-max-3680-w-feher-npd-1-wh-15410","https://www.somogyi.hu/product/home-npd-1-wh-foldelt-dugvilla-oldalso-kabelvezetessel-rugalmas-toresgatloval-max-3680-w-feher-npd-1-wh-15410")</f>
        <v>0.0</v>
      </c>
      <c r="E880" s="7" t="n">
        <f>HYPERLINK("https://www.somogyi.hu/data/img/product_main_images/small/15410.jpg","https://www.somogyi.hu/data/img/product_main_images/small/15410.jpg")</f>
        <v>0.0</v>
      </c>
      <c r="F880" s="2" t="inlineStr">
        <is>
          <t>5999084934446</t>
        </is>
      </c>
      <c r="G880" s="4" t="inlineStr">
        <is>
          <t>Az NPD 1/WH Földelt dugvilla oldalsó kábelvezetésű. Maximum 3680 W-ig terhelhető. 
A fehér dugvilla rugalmas törésgátlóval ellátott, így a hozzá csatlakoztatott kábel nem törik majd meg. 
A dugvillához nem tartozék a kábel.</t>
        </is>
      </c>
    </row>
    <row r="881">
      <c r="A881" s="3" t="inlineStr">
        <is>
          <t>NGA03</t>
        </is>
      </c>
      <c r="B881" s="2" t="inlineStr">
        <is>
          <t>Home NGA03 IP44 földelt lengő aljzat, egyenes kábelvezetéssel</t>
        </is>
      </c>
      <c r="C881" s="1" t="n">
        <v>1290.0</v>
      </c>
      <c r="D881" s="7" t="n">
        <f>HYPERLINK("https://www.somogyi.hu/product/home-nga03-ip44-foldelt-lengo-aljzat-egyenes-kabelvezetessel-nga03-19126","https://www.somogyi.hu/product/home-nga03-ip44-foldelt-lengo-aljzat-egyenes-kabelvezetessel-nga03-19126")</f>
        <v>0.0</v>
      </c>
      <c r="E881" s="7" t="n">
        <f>HYPERLINK("https://www.somogyi.hu/data/img/product_main_images/small/19126.jpg","https://www.somogyi.hu/data/img/product_main_images/small/19126.jpg")</f>
        <v>0.0</v>
      </c>
      <c r="F881" s="2" t="inlineStr">
        <is>
          <t>5999084971199</t>
        </is>
      </c>
      <c r="G881" s="4" t="inlineStr">
        <is>
          <t>Hogyan biztosíthat megbízható és biztonságos áramellátást kültéren is egy egyszerűnek tűnő hosszabbító aljzat? 
A Home NGA03 földelt lengő aljzat ideális megoldás minden olyan helyzetben, ahol tartós és biztonságos áramcsatlakozásra van szükség – legyen szó kerti munkáról, kültéri világításról vagy akár építkezési körülményekről. A nagy teljesítményű, földelt kialakítás és az IP44-es védettség gondoskodik arról, hogy a készülék esőtől, portól és szennyeződéstől védve, megbízhatóan működjön.
Kül- és beltéri használatra tervezve
A Home NGA03 lengő aljzat IP44-es védettséggel rendelkezik, amely ellenáll az időjárás viszontagságainak. Ennek köszönhetően a termék kültéren is biztonsággal használható, akár nedves, poros környezetben is. A masszív ház és a földelt kivitel pedig garantálja, hogy az elektromos csatlakoztatás minden körülmények között biztonságos maradjon.
Erőteljes és megbízható
Ez az aljzat 250 V~ feszültségre és akár 16 A áramerősségre alkalmas, így maximálisan 3680 Watt teljesítményt is képes biztosítani. Ez elegendő számos háztartási és ipari berendezés kiszolgálására, így Ön nyugodtan bízhat benne, akár fűnyíróhoz, kerti szerszámhoz vagy nagyobb fogyasztókhoz használja.
Praktikus kialakítás
Az egyenes kábelvezetéssel ellátott konstrukció kényelmes kezelhetőséget kínál, csökkentve a kábel megtörésének esélyét. Kompakt méretének köszönhetően könnyen tárolható, mégis masszív felépítése hosszú távon is megbízható működést nyújt.
Miért válassza a Home NGA03 földelt lengő aljzatot?
- IP44 védettséggel kültéri és beltéri használatra egyaránt
- Földelt kivitel a biztonságos áramellátás érdekében
- 3680 W maximális teljesítmény – erőteljes elektromos eszközökhöz is megfelelő
- Egyenes kábelvezetés – praktikus és tartós megoldás
Ne bízza a véletlenre a biztonságos áramellátást kültéren sem! A Home NGA03 földelt lengő aljzatban egyesül a teljesítmény, a védelem és a kényelem – válassza ezt a strapabíró és sokoldalú eszközt, ha megbízható csatlakozásra van szüksége bármilyen környezetben!</t>
        </is>
      </c>
    </row>
    <row r="882">
      <c r="A882" s="6" t="inlineStr">
        <is>
          <t xml:space="preserve">   Villamosság / Hálózati kábel, csatlakozó</t>
        </is>
      </c>
      <c r="B882" s="6" t="inlineStr">
        <is>
          <t/>
        </is>
      </c>
      <c r="C882" s="6" t="inlineStr">
        <is>
          <t/>
        </is>
      </c>
      <c r="D882" s="6" t="inlineStr">
        <is>
          <t/>
        </is>
      </c>
      <c r="E882" s="6" t="inlineStr">
        <is>
          <t/>
        </is>
      </c>
      <c r="F882" s="6" t="inlineStr">
        <is>
          <t/>
        </is>
      </c>
      <c r="G882" s="6" t="inlineStr">
        <is>
          <t/>
        </is>
      </c>
    </row>
    <row r="883">
      <c r="A883" s="3" t="inlineStr">
        <is>
          <t>N 5</t>
        </is>
      </c>
      <c r="B883" s="2" t="inlineStr">
        <is>
          <t>Home N 5 számítógépes hálózati csatlakozókábel, 2 m, H05VV-F 3G0,75 mm2 kábellel, védőérintkezős, max.1380W, fekete</t>
        </is>
      </c>
      <c r="C883" s="1" t="n">
        <v>2090.0</v>
      </c>
      <c r="D883" s="7" t="n">
        <f>HYPERLINK("https://www.somogyi.hu/product/home-n-5-szamitogepes-halozati-csatlakozokabel-2-m-h05vv-f-3g0-75-mm2-kabellel-vedoerintkezos-max-1380w-fekete-n-5-1813","https://www.somogyi.hu/product/home-n-5-szamitogepes-halozati-csatlakozokabel-2-m-h05vv-f-3g0-75-mm2-kabellel-vedoerintkezos-max-1380w-fekete-n-5-1813")</f>
        <v>0.0</v>
      </c>
      <c r="E883" s="7" t="n">
        <f>HYPERLINK("https://www.somogyi.hu/data/img/product_main_images/small/01813.jpg","https://www.somogyi.hu/data/img/product_main_images/small/01813.jpg")</f>
        <v>0.0</v>
      </c>
      <c r="F883" s="2" t="inlineStr">
        <is>
          <t>5998312703205</t>
        </is>
      </c>
      <c r="G883" s="4" t="inlineStr">
        <is>
          <t>Vásároljon Ön is megbízható, masszív kivitelben kapható hálózati csatlakozókábelt! Az N 5 fekete színű 2 méter hosszúságú védőérintkezős hálózati vezeték, amely 3 x 0,75 mm²-es kivitelben kapható. Felhasználhatósága: 250 V~ / 6 A / 1380 W. Válassza a minőségi termékeket és rendeljen webáruházunkból.</t>
        </is>
      </c>
    </row>
    <row r="884">
      <c r="A884" s="3" t="inlineStr">
        <is>
          <t>N 5X</t>
        </is>
      </c>
      <c r="B884" s="2" t="inlineStr">
        <is>
          <t>Home N 5X számítógépes hálózati csatlakozókábel, 3 x 0,75 mm2 hálózati vezeték, 2m, 250 V~/ max. 6 A / max. 1380 W</t>
        </is>
      </c>
      <c r="C884" s="1" t="n">
        <v>2290.0</v>
      </c>
      <c r="D884" s="7" t="n">
        <f>HYPERLINK("https://www.somogyi.hu/product/home-n-5x-szamitogepes-halozati-csatlakozokabel-3-x-0-75-mm2-halozati-vezetek-2m-250-v-max-6-a-max-1380-w-n-5x-2175","https://www.somogyi.hu/product/home-n-5x-szamitogepes-halozati-csatlakozokabel-3-x-0-75-mm2-halozati-vezetek-2m-250-v-max-6-a-max-1380-w-n-5x-2175")</f>
        <v>0.0</v>
      </c>
      <c r="E884" s="7" t="n">
        <f>HYPERLINK("https://www.somogyi.hu/data/img/product_main_images/small/02175.jpg","https://www.somogyi.hu/data/img/product_main_images/small/02175.jpg")</f>
        <v>0.0</v>
      </c>
      <c r="F884" s="2" t="inlineStr">
        <is>
          <t>5998312724408</t>
        </is>
      </c>
      <c r="G884" s="4" t="inlineStr">
        <is>
          <t>Hosszabb kábelre van szüksége számítógépe vagy más elektromos eszközei biztonságos csatlakoztatásához?
A Home N 5X számítógépes hálózati csatlakozókábel ideális választás olyan helyzetekben, amikor nagyobb távolságot kell áthidalni a hálózati aljzat és az eszköz között. Az erős, 3 x 0,75 mm² keresztmetszetű vezeték és a védőérintkezős csatlakozó garantálja a biztonságos áramellátást, akár 250 V~/6 A terhelhetőségig. Az 1380 W maximális teljesítmény lehetővé teszi, hogy ezt a kábelt különféle nagyobb teljesítményű berendezésekhez, például számítógépekhez, monitorokhoz vagy más háztartási készülékekhez használja.
Kiváló minőségű, 3 x 0,75 mm² keresztmetszetű vezeték
A kábel belső vezetékei 3 x 0,75 mm² keresztmetszettel rendelkeznek, amely biztosítja a stabil és megbízható áramellátást. Ez a keresztmetszet ideális választás nagyobb áramerősségű eszközök csatlakoztatásához is, miközben a PVC szigetelés védi a vezetéket a külső sérülésektől és a túlmelegedéstől.
Védőérintkezős csatlakozó a biztonságos használatért
A védőérintkezős kialakítás hozzájárul az eszközök és a felhasználó védelméhez, mivel megakadályozza az áramütést és a túlterhelést. Ez a kialakítás különösen fontos olyan elektromos berendezések esetében, amelyeknél a földelés alapvető követelmény a biztonságos működéshez.
Kényelmes, 2 méteres hosszúság
Az 2 méter hosszú kábel kellően hosszú ahhoz, hogy kényelmesen elérje a távolabb elhelyezkedő hálózati aljzatokat is, miközben elegendő szabadságot nyújt a csatlakoztatott eszközök elhelyezésében. Ez különösen praktikus lehet irodai és otthoni használat során, ahol gyakran szükséges az eszközök átrendezése vagy a hosszabb távolság áthidalása.
Magas teljesítmény és terhelhetőség
A Home N 5X csatlakozókábel 250 V~ feszültséget, 6 A áramerősséget és 1380 W maximális teljesítményt képes biztonságosan kezelni, így alkalmas különféle nagyobb teljesítményű eszközök használatához is. A nagy terhelhetőség garantálja, hogy a csatlakoztatott eszközök stabilan és biztonságosan működjenek hosszabb időn keresztül.
Praktikus bliszteres csomagolás
A termék 1 db-os bliszteres csomagolásban érkezik, amely védi a kábelt a sérülésektől szállítás és tárolás során, valamint biztosítja, hogy a vásárlók mindig kiváló minőségű terméket kapjanak.
Miért érdemes a Home N 5X számítógépes hálózati csatlakozókábelt választani?
– Kiváló minőségű, 3 x 0,75 mm² keresztmetszetű vezeték, amely stabil áramellátást biztosít 
– Védőérintkezős kialakítás, amely garantálja a biztonságos használatot 
– 2 méteres hosszúság, amely kellő mozgásszabadságot nyújt a csatlakoztatott eszközök elhelyezésében 
– Magas terhelhetőség: 250 V~/6 A/1380 W maximális teljesítmény 
– Strapabíró PVC szigetelés, amely védi a vezetéket a mechanikai sérülésektől és a túlmelegedéstől 
– Praktikus bliszteres csomagolás a sérülésmentes tárolásért és szállításért
A Home N 5X hálózati csatlakozókábel megbízható megoldást nyújt minden olyan helyzetben, ahol fontos a stabil és biztonságos áramellátás. Válassza ezt a prémium minőségű kábelt, és élvezze a zavartalan energiaellátás nyújtotta kényelmet minden nap!</t>
        </is>
      </c>
    </row>
    <row r="885">
      <c r="A885" s="3" t="inlineStr">
        <is>
          <t>N 2K-2/WH</t>
        </is>
      </c>
      <c r="B885" s="2" t="inlineStr">
        <is>
          <t>Home N 2K-2/WH hálózati csatlakozókábel kapcsolóval, 2 m, H03VVH2-F 2x0,75 mm2 kábellel, egypólusú kapcsolóval, max.460W, fehér</t>
        </is>
      </c>
      <c r="C885" s="1" t="n">
        <v>1450.0</v>
      </c>
      <c r="D885" s="7" t="n">
        <f>HYPERLINK("https://www.somogyi.hu/product/home-n-2k-2-wh-halozati-csatlakozokabel-kapcsoloval-2-m-h03vvh2-f-2x0-75-mm2-kabellel-egypolusu-kapcsoloval-max-460w-feher-n-2k-2-wh-9812","https://www.somogyi.hu/product/home-n-2k-2-wh-halozati-csatlakozokabel-kapcsoloval-2-m-h03vvh2-f-2x0-75-mm2-kabellel-egypolusu-kapcsoloval-max-460w-feher-n-2k-2-wh-9812")</f>
        <v>0.0</v>
      </c>
      <c r="E885" s="7" t="n">
        <f>HYPERLINK("https://www.somogyi.hu/data/img/product_main_images/small/09812.jpg","https://www.somogyi.hu/data/img/product_main_images/small/09812.jpg")</f>
        <v>0.0</v>
      </c>
      <c r="F885" s="2" t="inlineStr">
        <is>
          <t>5998312785386</t>
        </is>
      </c>
      <c r="G885" s="4" t="inlineStr">
        <is>
          <t>Vásároljon Ön is megbízható, masszív kivitelben kapható hálózati csatlakozókábelt! Az N 2K-2/WH egy fehér színű 2 méteres hosszúságú csatlakozókábel egypólusú kapcsolóval. Felhasználhatósága: 250 V~ / 50 Hz / max. 2 A / max. 460 W. Válassza a minőségi termékeket és rendeljen webáruházunkból.</t>
        </is>
      </c>
    </row>
    <row r="886">
      <c r="A886" s="3" t="inlineStr">
        <is>
          <t>N 8-3/1,5</t>
        </is>
      </c>
      <c r="B886" s="2" t="inlineStr">
        <is>
          <t>Home N 8-3/1,5 hálózati csatlakozókábel, 3 m, H05RR-F3G1,5mm2 gumikábellel,  IP44 csatlakozódugó, védőérintkezős, max.3680W, fekete</t>
        </is>
      </c>
      <c r="C886" s="1" t="n">
        <v>3990.0</v>
      </c>
      <c r="D886" s="7" t="n">
        <f>HYPERLINK("https://www.somogyi.hu/product/home-n-8-3-1-5-halozati-csatlakozokabel-3-m-h05rr-f3g1-5mm2-gumikabellel-ip44-csatlakozodugo-vedoerintkezos-max-3680w-fekete-n-8-3-1-5-9806","https://www.somogyi.hu/product/home-n-8-3-1-5-halozati-csatlakozokabel-3-m-h05rr-f3g1-5mm2-gumikabellel-ip44-csatlakozodugo-vedoerintkezos-max-3680w-fekete-n-8-3-1-5-9806")</f>
        <v>0.0</v>
      </c>
      <c r="E886" s="7" t="n">
        <f>HYPERLINK("https://www.somogyi.hu/data/img/product_main_images/small/09806.jpg","https://www.somogyi.hu/data/img/product_main_images/small/09806.jpg")</f>
        <v>0.0</v>
      </c>
      <c r="F886" s="2" t="inlineStr">
        <is>
          <t>5998312785324</t>
        </is>
      </c>
      <c r="G886" s="4" t="inlineStr">
        <is>
          <t>Vásároljon Ön is megbízható, masszív kivitelben kapható hálózati csatlakozókábelt! Az N 8-3/1,5
fekete színű 3 méter hosszúságú védőérintkezős hálózati vezeték, amely 3 x 1,5 mm²-es kivitelben kapható. Felhasználhatósága: 250 V~ / 50 Hz / max. 16 A / max. 3680 W. Előnye, hogy a csatlakozódugó IP44-es védelemmel ellátott. Válassza a minőségi termékeket és rendeljen webáruházunkból.</t>
        </is>
      </c>
    </row>
    <row r="887">
      <c r="A887" s="3" t="inlineStr">
        <is>
          <t>N 8-5/1,5</t>
        </is>
      </c>
      <c r="B887" s="2" t="inlineStr">
        <is>
          <t>Home N 8-5/1,5 hálózati csatlakozókábel, 5 m, H05RR-F3G1,5mm2 gumikábellel,  IP44 csatlakozódugó, védőérintkezős, max.3680W, fekete</t>
        </is>
      </c>
      <c r="C887" s="1" t="n">
        <v>5890.0</v>
      </c>
      <c r="D887" s="7" t="n">
        <f>HYPERLINK("https://www.somogyi.hu/product/home-n-8-5-1-5-halozati-csatlakozokabel-5-m-h05rr-f3g1-5mm2-gumikabellel-ip44-csatlakozodugo-vedoerintkezos-max-3680w-fekete-n-8-5-1-5-9807","https://www.somogyi.hu/product/home-n-8-5-1-5-halozati-csatlakozokabel-5-m-h05rr-f3g1-5mm2-gumikabellel-ip44-csatlakozodugo-vedoerintkezos-max-3680w-fekete-n-8-5-1-5-9807")</f>
        <v>0.0</v>
      </c>
      <c r="E887" s="7" t="n">
        <f>HYPERLINK("https://www.somogyi.hu/data/img/product_main_images/small/09807.jpg","https://www.somogyi.hu/data/img/product_main_images/small/09807.jpg")</f>
        <v>0.0</v>
      </c>
      <c r="F887" s="2" t="inlineStr">
        <is>
          <t>5998312785331</t>
        </is>
      </c>
      <c r="G887" s="4" t="inlineStr">
        <is>
          <t>Vásároljon Ön is megbízható, masszív kivitelben kapható hálózati csatlakozókábelt! Az N 8-5/1,5
fekete színű 5 méter hosszúságú védőérintkezős hálózati vezeték, amely 3 x 1,5 mm²-es kivitelben kapható. Felhasználhatósága: 250 V~ / 50 Hz / max. 16 A / max. 3680 W. Előnye, hogy a csatlakozódugó IP44-es védelemmel ellátott. Válassza a minőségi termékeket és rendeljen webáruházunkból.</t>
        </is>
      </c>
    </row>
    <row r="888">
      <c r="A888" s="3" t="inlineStr">
        <is>
          <t>N 11/VDE</t>
        </is>
      </c>
      <c r="B888" s="2" t="inlineStr">
        <is>
          <t>Home N 11/VDE hálózati csatlakozókábel, 1,5 m, H03VVH2-F 2x0,5 mm2, max.500W, fekete</t>
        </is>
      </c>
      <c r="C888" s="1" t="n">
        <v>909.0</v>
      </c>
      <c r="D888" s="7" t="n">
        <f>HYPERLINK("https://www.somogyi.hu/product/home-n-11-vde-halozati-csatlakozokabel-1-5-m-h03vvh2-f-2x0-5-mm2-max-500w-fekete-n-11-vde-3139","https://www.somogyi.hu/product/home-n-11-vde-halozati-csatlakozokabel-1-5-m-h03vvh2-f-2x0-5-mm2-max-500w-fekete-n-11-vde-3139")</f>
        <v>0.0</v>
      </c>
      <c r="E888" s="7" t="n">
        <f>HYPERLINK("https://www.somogyi.hu/data/img/product_main_images/small/03139.jpg","https://www.somogyi.hu/data/img/product_main_images/small/03139.jpg")</f>
        <v>0.0</v>
      </c>
      <c r="F888" s="2" t="inlineStr">
        <is>
          <t>5998312734636</t>
        </is>
      </c>
      <c r="G888" s="4" t="inlineStr">
        <is>
          <t>Vásároljon Ön is megbízható, masszív kivitelben kapható hálózati csatlakozókábelt! Az N 11/ VDE fekete színű 1,5 méter hosszúságú hálózati vezeték, amely 2 x 0,5 mm²-es kivitelben kapható. Felhasználhatósága: 250 V~ / 2,5 A / 500 W. Válassza a minőségi termékeket és rendeljen webáruházunkból.</t>
        </is>
      </c>
    </row>
    <row r="889">
      <c r="A889" s="3" t="inlineStr">
        <is>
          <t>N 10-3/1,0</t>
        </is>
      </c>
      <c r="B889" s="2" t="inlineStr">
        <is>
          <t>Home N 10-3/1,0 hálózati csatlakozókábel, 3 m, H05RN-F 2 x 1,0 mm2 gumikábel,  IP44 védettség, max.2300W, fekete</t>
        </is>
      </c>
      <c r="C889" s="1" t="n">
        <v>2190.0</v>
      </c>
      <c r="D889" s="7" t="n">
        <f>HYPERLINK("https://www.somogyi.hu/product/home-n-10-3-1-0-halozati-csatlakozokabel-3-m-h05rn-f-2-x-1-0-mm2-gumikabel-ip44-vedettseg-max-2300w-fekete-n-10-3-1-0-9810","https://www.somogyi.hu/product/home-n-10-3-1-0-halozati-csatlakozokabel-3-m-h05rn-f-2-x-1-0-mm2-gumikabel-ip44-vedettseg-max-2300w-fekete-n-10-3-1-0-9810")</f>
        <v>0.0</v>
      </c>
      <c r="E889" s="7" t="n">
        <f>HYPERLINK("https://www.somogyi.hu/data/img/product_main_images/small/09810.jpg","https://www.somogyi.hu/data/img/product_main_images/small/09810.jpg")</f>
        <v>0.0</v>
      </c>
      <c r="F889" s="2" t="inlineStr">
        <is>
          <t>5998312785362</t>
        </is>
      </c>
      <c r="G889" s="4" t="inlineStr">
        <is>
          <t>Vásároljon Ön is megbízható, masszív kivitelben kapható hálózati csatlakozókábelt! Az N 10-3/1,0
fekete színű 3 méter hosszúságú gumikábel, amely 2 x 1,0 mm²-es kivitelben kapható. Felhasználhatósága: 250 V~ / 50 Hz / max. 10 A / max. 2300 W. Előnye, hogy a csatlakozódugó IP44-es védelemmel ellátott. Válassza a minőségi termékeket és rendeljen webáruházunkból.</t>
        </is>
      </c>
    </row>
    <row r="890">
      <c r="A890" s="3" t="inlineStr">
        <is>
          <t>N 7</t>
        </is>
      </c>
      <c r="B890" s="2" t="inlineStr">
        <is>
          <t>Home N 7 hálózati csatlakozókábel, 2 m, H05VV-F 3G0,75 mm2 kábellel, védőérintkezős, max.1380W, fehér</t>
        </is>
      </c>
      <c r="C890" s="1" t="n">
        <v>1590.0</v>
      </c>
      <c r="D890" s="7" t="n">
        <f>HYPERLINK("https://www.somogyi.hu/product/home-n-7-halozati-csatlakozokabel-2-m-h05vv-f-3g0-75-mm2-kabellel-vedoerintkezos-max-1380w-feher-n-7-3108","https://www.somogyi.hu/product/home-n-7-halozati-csatlakozokabel-2-m-h05vv-f-3g0-75-mm2-kabellel-vedoerintkezos-max-1380w-feher-n-7-3108")</f>
        <v>0.0</v>
      </c>
      <c r="E890" s="7" t="n">
        <f>HYPERLINK("https://www.somogyi.hu/data/img/product_main_images/small/03108.jpg","https://www.somogyi.hu/data/img/product_main_images/small/03108.jpg")</f>
        <v>0.0</v>
      </c>
      <c r="F890" s="2" t="inlineStr">
        <is>
          <t>5998312734322</t>
        </is>
      </c>
      <c r="G890" s="4" t="inlineStr">
        <is>
          <t>Vásároljon Ön is megbízható, masszív kivitelben kapható hálózati csatlakozókábelt! Az N 7 fehér színű 2 méter hosszúságú védőérintkezős hálózati vezeték, amely 3 x 0,75 mm²-es kivitelben kapható. Felhasználhatósága: 250 V~ / 6 A / 2300 W. Válassza a minőségi termékeket és rendeljen webáruházunkból.</t>
        </is>
      </c>
    </row>
    <row r="891">
      <c r="A891" s="3" t="inlineStr">
        <is>
          <t>N 2K-2/BK</t>
        </is>
      </c>
      <c r="B891" s="2" t="inlineStr">
        <is>
          <t>Home N 2K-2/BK hálózati csatlakozókábel kapcsolóval, 2 m, H03VVH2-F 2x0,75 mm2 kábellel, egypólusú kapcsolóval, max.460W, fekete</t>
        </is>
      </c>
      <c r="C891" s="1" t="n">
        <v>1450.0</v>
      </c>
      <c r="D891" s="7" t="n">
        <f>HYPERLINK("https://www.somogyi.hu/product/home-n-2k-2-bk-halozati-csatlakozokabel-kapcsoloval-2-m-h03vvh2-f-2x0-75-mm2-kabellel-egypolusu-kapcsoloval-max-460w-fekete-n-2k-2-bk-15829","https://www.somogyi.hu/product/home-n-2k-2-bk-halozati-csatlakozokabel-kapcsoloval-2-m-h03vvh2-f-2x0-75-mm2-kabellel-egypolusu-kapcsoloval-max-460w-fekete-n-2k-2-bk-15829")</f>
        <v>0.0</v>
      </c>
      <c r="E891" s="7" t="n">
        <f>HYPERLINK("https://www.somogyi.hu/data/img/product_main_images/small/15829.jpg","https://www.somogyi.hu/data/img/product_main_images/small/15829.jpg")</f>
        <v>0.0</v>
      </c>
      <c r="F891" s="2" t="inlineStr">
        <is>
          <t>5999084938635</t>
        </is>
      </c>
      <c r="G891" s="4" t="inlineStr">
        <is>
          <t>Vásároljon Ön is megbízható, masszív kivitelben kapható hálózati csatlakozókábelt! Az N 2K-2/BK egy fekete színű 2 méteres hosszúságú csatlakozókábel egypólusú kapcsolóval. Felhasználhatósága: 250 V~ / 50 Hz / max. 2 A / max. 460 W. Válassza a minőségi termékeket és rendeljen webáruházunkból.</t>
        </is>
      </c>
    </row>
    <row r="892">
      <c r="A892" s="3" t="inlineStr">
        <is>
          <t>N 10-5/1,0</t>
        </is>
      </c>
      <c r="B892" s="2" t="inlineStr">
        <is>
          <t>Home N 10-5/1,0 hálózati csatlakozókábel, 5 m, H05RN-F 2 x 1,0 mm2 gumikábel,  IP44 védettség, max.2300W, fekete</t>
        </is>
      </c>
      <c r="C892" s="1" t="n">
        <v>3390.0</v>
      </c>
      <c r="D892" s="7" t="n">
        <f>HYPERLINK("https://www.somogyi.hu/product/home-n-10-5-1-0-halozati-csatlakozokabel-5-m-h05rn-f-2-x-1-0-mm2-gumikabel-ip44-vedettseg-max-2300w-fekete-n-10-5-1-0-9811","https://www.somogyi.hu/product/home-n-10-5-1-0-halozati-csatlakozokabel-5-m-h05rn-f-2-x-1-0-mm2-gumikabel-ip44-vedettseg-max-2300w-fekete-n-10-5-1-0-9811")</f>
        <v>0.0</v>
      </c>
      <c r="E892" s="7" t="n">
        <f>HYPERLINK("https://www.somogyi.hu/data/img/product_main_images/small/09811.jpg","https://www.somogyi.hu/data/img/product_main_images/small/09811.jpg")</f>
        <v>0.0</v>
      </c>
      <c r="F892" s="2" t="inlineStr">
        <is>
          <t>5998312785379</t>
        </is>
      </c>
      <c r="G892" s="4" t="inlineStr">
        <is>
          <t>Az N10-5/1,0 Hálózati csatlakozókábel 5 m hosszú H05RN-F 2x1,0 mm2 gumi vezetékkel ellátott. A termék gumírozott anyagú, kül- és beltéren egyaránt használható.  Maximum 2300 W-ig terhelhető.</t>
        </is>
      </c>
    </row>
    <row r="893">
      <c r="A893" s="3" t="inlineStr">
        <is>
          <t>N 1-2WH/VDE</t>
        </is>
      </c>
      <c r="B893" s="2" t="inlineStr">
        <is>
          <t>Home N 1-2WH/VDE hálózati csatlakozókábel, 2 m, H03VVH2-F 2x0,75 mm2 kábellel, max.500W, fehér</t>
        </is>
      </c>
      <c r="C893" s="1" t="n">
        <v>1150.0</v>
      </c>
      <c r="D893" s="7" t="n">
        <f>HYPERLINK("https://www.somogyi.hu/product/home-n-1-2wh-vde-halozati-csatlakozokabel-2-m-h03vvh2-f-2x0-75-mm2-kabellel-max-500w-feher-n-1-2wh-vde-14920","https://www.somogyi.hu/product/home-n-1-2wh-vde-halozati-csatlakozokabel-2-m-h03vvh2-f-2x0-75-mm2-kabellel-max-500w-feher-n-1-2wh-vde-14920")</f>
        <v>0.0</v>
      </c>
      <c r="E893" s="7" t="n">
        <f>HYPERLINK("https://www.somogyi.hu/data/img/product_main_images/small/14920.jpg","https://www.somogyi.hu/data/img/product_main_images/small/14920.jpg")</f>
        <v>0.0</v>
      </c>
      <c r="F893" s="2" t="inlineStr">
        <is>
          <t>2221295500039</t>
        </is>
      </c>
      <c r="G893" s="4" t="inlineStr">
        <is>
          <t>Az N1-2/WH/VDE Hálózati csatlakozókábel 2 méter hosszú 2x 0,75 mm2 vezetékkel ellátott. Kétpólusú EURO dugvillával szerelt.</t>
        </is>
      </c>
    </row>
    <row r="894">
      <c r="A894" s="3" t="inlineStr">
        <is>
          <t>N 1/VDE</t>
        </is>
      </c>
      <c r="B894" s="2" t="inlineStr">
        <is>
          <t>Home N 1/VDE hálózati csatlakozókábel, 1,5 m, H03VVH2-F 2x0,75 mm2, max.500 W, fekete</t>
        </is>
      </c>
      <c r="C894" s="1" t="n">
        <v>1050.0</v>
      </c>
      <c r="D894" s="7" t="n">
        <f>HYPERLINK("https://www.somogyi.hu/product/home-n-1-vde-halozati-csatlakozokabel-1-5-m-h03vvh2-f-2x0-75-mm2-max-500-w-fekete-n-1-vde-2630","https://www.somogyi.hu/product/home-n-1-vde-halozati-csatlakozokabel-1-5-m-h03vvh2-f-2x0-75-mm2-max-500-w-fekete-n-1-vde-2630")</f>
        <v>0.0</v>
      </c>
      <c r="E894" s="7" t="n">
        <f>HYPERLINK("https://www.somogyi.hu/data/img/product_main_images/small/02630.jpg","https://www.somogyi.hu/data/img/product_main_images/small/02630.jpg")</f>
        <v>0.0</v>
      </c>
      <c r="F894" s="2" t="inlineStr">
        <is>
          <t>5998312729458</t>
        </is>
      </c>
      <c r="G894" s="4" t="inlineStr">
        <is>
          <t>Az N1/VDE Hálózati csatlakozókábel 1,5 méter hosszú 2x 0,75 mm2 vezetékkel ellátott. Kétpólusú EURO dugóval szerelt. Maximum 500 W-ig terhelhető.</t>
        </is>
      </c>
    </row>
    <row r="895">
      <c r="A895" s="3" t="inlineStr">
        <is>
          <t>AC 2D</t>
        </is>
      </c>
      <c r="B895" s="2" t="inlineStr">
        <is>
          <t>Home AC 2D, AC beépíthető dugó, 3 pólus, 10A, 2300W, forrasztható</t>
        </is>
      </c>
      <c r="C895" s="1" t="n">
        <v>429.0</v>
      </c>
      <c r="D895" s="7" t="n">
        <f>HYPERLINK("https://www.somogyi.hu/product/home-ac-2d-ac-beepitheto-dugo-3-polus-10a-2300w-forraszthato-ac-2d-1707","https://www.somogyi.hu/product/home-ac-2d-ac-beepitheto-dugo-3-polus-10a-2300w-forraszthato-ac-2d-1707")</f>
        <v>0.0</v>
      </c>
      <c r="E895" s="7" t="n">
        <f>HYPERLINK("https://www.somogyi.hu/data/img/product_main_images/small/01707.jpg","https://www.somogyi.hu/data/img/product_main_images/small/01707.jpg")</f>
        <v>0.0</v>
      </c>
      <c r="F895" s="2" t="inlineStr">
        <is>
          <t>5998312700754</t>
        </is>
      </c>
      <c r="G895" s="4" t="inlineStr">
        <is>
          <t>Stabil és tartós csatlakozási megoldást keres eszközeihez? A Home AC 2D beépíthető dugó tökéletes választás, ha olyan megbízható alkatrészt keres, amely hosszú távon biztosítja az áramellátást készülékei számára. 
Ez a 3 pólusú dugó 250 V~ feszültségre, 10 A áramerősségre és akár 2300 W teljesítményre alkalmas, így számos háztartási és ipari eszköz áramellátására használható. A forrasztható kivitel biztosítja a tartós és biztonságos csatlakozást, amely ellenáll a rendszeres igénybevételnek, és hosszú élettartamot garantál. Beépíthetősége révén a termék kompakt és esztétikus megoldást kínál, ideális választás bármilyen elektromos projektben, ahol kiemelten fontos a megbízhatóság és a biztonság.
Ne habozzon – válassza a Home AC 2D beépíthető dugót, és élvezze az állandó, biztonságos kapcsolatot eszközeivel minden környezetben!</t>
        </is>
      </c>
    </row>
    <row r="896">
      <c r="A896" s="3" t="inlineStr">
        <is>
          <t>AC 1D</t>
        </is>
      </c>
      <c r="B896" s="2" t="inlineStr">
        <is>
          <t>Home AC 1D, AC lengődugó, 3 pólus, 10A, 2300W, csavarozható</t>
        </is>
      </c>
      <c r="C896" s="1" t="n">
        <v>729.0</v>
      </c>
      <c r="D896" s="7" t="n">
        <f>HYPERLINK("https://www.somogyi.hu/product/home-ac-1d-ac-lengodugo-3-polus-10a-2300w-csavarozhato-ac-1d-1703","https://www.somogyi.hu/product/home-ac-1d-ac-lengodugo-3-polus-10a-2300w-csavarozhato-ac-1d-1703")</f>
        <v>0.0</v>
      </c>
      <c r="E896" s="7" t="n">
        <f>HYPERLINK("https://www.somogyi.hu/data/img/product_main_images/small/01703.jpg","https://www.somogyi.hu/data/img/product_main_images/small/01703.jpg")</f>
        <v>0.0</v>
      </c>
      <c r="F896" s="2" t="inlineStr">
        <is>
          <t>5998312700686</t>
        </is>
      </c>
      <c r="G896" s="4" t="inlineStr">
        <is>
          <t>Stabil és biztonságos áramellátásra van szüksége otthon vagy munkahelyen? A Home AC 1D lengődugó tökéletes választás, ha megbízható és tartós csatlakozási megoldást keres. 
Ez a 3 pólusú dugó 250 V~ feszültségig, 10 A áramerősségig és akár 2300 W teljesítményig használható, így ideális háztartási és kisebb ipari eszközök számára is. A csavarozható kivitel egyszerű és biztonságos szerelést biztosít, amely garantálja a stabil kapcsolatot, minimalizálva a laza érintkezésekből adódó problémákat. Masszív és strapabíró kialakításának köszönhetően hosszú élettartamot és megbízható működést biztosít, így Ön nyugodtan koncentrálhat a feladataira, miközben eszközei mindig biztonságosan csatlakoznak az áramforráshoz.
Válassza a Home AC 1D lengődugót, hogy biztosítsa eszközeinek zavartalan áramellátását, és ne aggódjon többé a csatlakozási problémák miatt!</t>
        </is>
      </c>
    </row>
    <row r="897">
      <c r="A897" s="3" t="inlineStr">
        <is>
          <t>N 1X</t>
        </is>
      </c>
      <c r="B897" s="2" t="inlineStr">
        <is>
          <t>Home N 1X hálózati csatlakozókábel, 2x0,75 hálózati vezeték, 1,5m, 250 V~/2,5 A/500W</t>
        </is>
      </c>
      <c r="C897" s="1" t="n">
        <v>1250.0</v>
      </c>
      <c r="D897" s="7" t="n">
        <f>HYPERLINK("https://www.somogyi.hu/product/home-n-1x-halozati-csatlakozokabel-2x0-75-halozati-vezetek-1-5m-250-v-2-5-a-500w-n-1x-2173","https://www.somogyi.hu/product/home-n-1x-halozati-csatlakozokabel-2x0-75-halozati-vezetek-1-5m-250-v-2-5-a-500w-n-1x-2173")</f>
        <v>0.0</v>
      </c>
      <c r="E897" s="7" t="n">
        <f>HYPERLINK("https://www.somogyi.hu/data/img/product_main_images/small/02173.jpg","https://www.somogyi.hu/data/img/product_main_images/small/02173.jpg")</f>
        <v>0.0</v>
      </c>
      <c r="F897" s="2" t="inlineStr">
        <is>
          <t>5998312724385</t>
        </is>
      </c>
      <c r="G897" s="4" t="inlineStr">
        <is>
          <t>Hogyan választhat biztonságos és megbízható hálózati csatlakozókábelt a mindennapi használatra?
A Home N 1X hálózati csatlakozókábel ideális megoldás különféle elektromos eszközök hálózatra csatlakoztatásához, legyen szó háztartási berendezésekről, irodai készülékekről vagy egyéb elektronikus eszközökről. Az 1,5 méter hosszú kábel elegendő mozgásszabadságot biztosít a kényelmes használathoz, miközben a 250 V~/2,5 A teljesítményű vezeték megbízható energiaellátást nyújt, akár 500 W maximális terhelhetőségig.
Strapabíró és biztonságos kialakítás
A kábel 2 x 0,75 mm² keresztmetszetű vezetékei erős PVC szigeteléssel vannak ellátva, amely kiváló védelmet nyújt a külső sérülésekkel és a túlmelegedéssel szemben. A megfelelő keresztmetszet garantálja a stabil áramellátást, így a csatlakoztatott eszközök biztonságosan működhetnek hosszabb időn keresztül is.
Optimális hosszúság a kényelmes használathoz
Az 1,5 méter hosszú kábel elegendő távolságot biztosít a hálózati aljzat és az eszköz között, így könnyen használható olyan helyeken, ahol az aljzatok nehezebben hozzáférhetők. Az optimális hosszúság csökkenti a felesleges kábeltöbbletet, miközben elegendő szabadságot ad a készülékek elhelyezéséhez.
Univerzális csatlakoztathatóság
A Home N 1X csatlakozókábel szabványos kialakításának köszönhetően szinte bármilyen elektromos eszközhöz használható, amely 250 V feszültségű és legfeljebb 500 W teljesítményű hálózati csatlakozást igényel. A 2,5 A áramerősség megfelelő stabilitást és biztonságot nyújt a kisebb és közepes teljesítményű készülékek számára.
Praktikus bliszteres csomagolás
A termék 1 db-os bliszteres csomagolásban érkezik, amely megkönnyíti a szállítást és tárolást. A bliszter védi a kábelt a sérülésektől, és biztosítja, hogy a vásárlók mindig hibátlan állapotú terméket kapjanak.
Miért válassza a Home N 1X hálózati csatlakozókábelt?
– Erős, 2 x 0,75 mm² keresztmetszetű vezeték a megbízható áramellátásért 
– 1,5 méter hosszúság, amely kényelmes távolságot biztosít a használathoz
 – 250 V~/2,5 A/500 W maximális terhelhetőség, amely széleskörű felhasználást tesz lehetővé 
– Strapabíró PVC szigetelés, amely védi a vezetéket a sérülésektől és a túlmelegedéstől 
– Bliszteres csomagolás, amely garantálja a sérülésmentes szállítást és tárolást
Válassza a Home N 1X hálózati csatlakozókábelt, ha megbízható és biztonságos megoldást keres elektromos eszközei hálózatra csatlakoztatásához. Tartós kialakításának és univerzális használhatóságának köszönhetően ez a kábel kiváló választás mind otthoni, mind professzionális környezetben!</t>
        </is>
      </c>
    </row>
    <row r="898">
      <c r="A898" s="3" t="inlineStr">
        <is>
          <t>AC 1A</t>
        </is>
      </c>
      <c r="B898" s="2" t="inlineStr">
        <is>
          <t>Home AC 1A, AC lengőaljzat, 3 pólus, 10A, 2300W, csavarozható</t>
        </is>
      </c>
      <c r="C898" s="1" t="n">
        <v>729.0</v>
      </c>
      <c r="D898" s="7" t="n">
        <f>HYPERLINK("https://www.somogyi.hu/product/home-ac-1a-ac-lengoaljzat-3-polus-10a-2300w-csavarozhato-ac-1a-1702","https://www.somogyi.hu/product/home-ac-1a-ac-lengoaljzat-3-polus-10a-2300w-csavarozhato-ac-1a-1702")</f>
        <v>0.0</v>
      </c>
      <c r="E898" s="7" t="n">
        <f>HYPERLINK("https://www.somogyi.hu/data/img/product_main_images/small/01702.jpg","https://www.somogyi.hu/data/img/product_main_images/small/01702.jpg")</f>
        <v>0.0</v>
      </c>
      <c r="F898" s="2" t="inlineStr">
        <is>
          <t>5998312700679</t>
        </is>
      </c>
      <c r="G898" s="4" t="inlineStr">
        <is>
          <t>Biztonságos és stabil áramellátásra van szüksége? A Home AC 1A hálózati csatlakozó ideális megoldás, ha megbízható és strapabíró csatlakozást keres elektromos készülékei számára. 
Ez a csatlakozó 3 pólusú kialakítással rendelkezik, amely 250 V-os feszültségre és 10 A-es áramerősségre alkalmas, így akár 2300 W teljesítményt is képes biztosítani. A csavarozható kivitel garantálja a stabil és biztonságos csatlakozást, legyen szó otthoni vagy ipari használatról. A szilárd rögzítés csökkenti a laza érintkezések kockázatát, így hosszú távon is zavartalan áramellátást nyújt. Kompakt és praktikus kialakításának köszönhetően könnyen telepíthető.
Ne bízza az áramellátást a véletlenre – válassza a Home AC 1A hálózati csatlakozót, és élvezze a zavartalan működést és a biztonságos kapcsolatot!</t>
        </is>
      </c>
    </row>
    <row r="899">
      <c r="A899" s="3" t="inlineStr">
        <is>
          <t>N 2/VDE</t>
        </is>
      </c>
      <c r="B899" s="2" t="inlineStr">
        <is>
          <t>Home N 2/VDE hálózati csatlakozókábel, 1,5 m, H03VVH2-F 2x0,75 mm2 kábel, ónozott véggel, max.500W, fekete</t>
        </is>
      </c>
      <c r="C899" s="1" t="n">
        <v>859.0</v>
      </c>
      <c r="D899" s="7" t="n">
        <f>HYPERLINK("https://www.somogyi.hu/product/home-n-2-vde-halozati-csatlakozokabel-1-5-m-h03vvh2-f-2x0-75-mm2-kabel-onozott-veggel-max-500w-fekete-n-2-vde-2141","https://www.somogyi.hu/product/home-n-2-vde-halozati-csatlakozokabel-1-5-m-h03vvh2-f-2x0-75-mm2-kabel-onozott-veggel-max-500w-fekete-n-2-vde-2141")</f>
        <v>0.0</v>
      </c>
      <c r="E899" s="7" t="n">
        <f>HYPERLINK("https://www.somogyi.hu/data/img/product_main_images/small/02141.jpg","https://www.somogyi.hu/data/img/product_main_images/small/02141.jpg")</f>
        <v>0.0</v>
      </c>
      <c r="F899" s="2" t="inlineStr">
        <is>
          <t>5998312724019</t>
        </is>
      </c>
      <c r="G899" s="4" t="inlineStr">
        <is>
          <t>Vásároljon Ön is megbízható, masszív kivitelben kapható hálózati csatlakozókábelt! Az N 2/ VDE fekete színű, ónozott véggel rendelkező 1,5 méter hosszúságú hálózati vezeték, amely 2 x 0,75 mm²-es kivitelben kapható. Felhasználhatósága: 250 V~ / 2,5 A / 500 W. Válassza a minőségi termékeket és rendeljen webáruházunkból.</t>
        </is>
      </c>
    </row>
    <row r="900">
      <c r="A900" s="6" t="inlineStr">
        <is>
          <t xml:space="preserve">   Villamosság / Távirányítható hálózati aljzat</t>
        </is>
      </c>
      <c r="B900" s="6" t="inlineStr">
        <is>
          <t/>
        </is>
      </c>
      <c r="C900" s="6" t="inlineStr">
        <is>
          <t/>
        </is>
      </c>
      <c r="D900" s="6" t="inlineStr">
        <is>
          <t/>
        </is>
      </c>
      <c r="E900" s="6" t="inlineStr">
        <is>
          <t/>
        </is>
      </c>
      <c r="F900" s="6" t="inlineStr">
        <is>
          <t/>
        </is>
      </c>
      <c r="G900" s="6" t="inlineStr">
        <is>
          <t/>
        </is>
      </c>
    </row>
    <row r="901">
      <c r="A901" s="3" t="inlineStr">
        <is>
          <t>TH2311</t>
        </is>
      </c>
      <c r="B901" s="2" t="inlineStr">
        <is>
          <t>Home TH2311 távirányítható mini hálózati aljzat szett, 2300 W, 1 aljzat + 1 távirányító</t>
        </is>
      </c>
      <c r="C901" s="1" t="n">
        <v>5390.0</v>
      </c>
      <c r="D901" s="7" t="n">
        <f>HYPERLINK("https://www.somogyi.hu/product/home-th2311-taviranyithato-mini-halozati-aljzat-szett-2300-w-1-aljzat-1-taviranyito-th2311-18453","https://www.somogyi.hu/product/home-th2311-taviranyithato-mini-halozati-aljzat-szett-2300-w-1-aljzat-1-taviranyito-th2311-18453")</f>
        <v>0.0</v>
      </c>
      <c r="E901" s="7" t="n">
        <f>HYPERLINK("https://www.somogyi.hu/data/img/product_main_images/small/18453.jpg","https://www.somogyi.hu/data/img/product_main_images/small/18453.jpg")</f>
        <v>0.0</v>
      </c>
      <c r="F901" s="2" t="inlineStr">
        <is>
          <t>5999084964719</t>
        </is>
      </c>
      <c r="G901" s="4" t="inlineStr">
        <is>
          <t>Szeretné könnyedén irányítani otthoni elektromos eszközeit egyetlen gombnyomással? A Home TH2311 távirányítható mini hálózati aljzat szett ideális megoldás azoknak, akik kényelmesen és hatékonyan szeretnék vezérelni eszközeiket. 
Ez a szett 40 méteres hatótávolsággal rendelkezik nyílt terepen, és rádiós összeköttetést biztosít a 433,92 MHz frekvencián. A szett három csoport (A, B, C) aljzatainak vezérlésére alkalmas egyetlen távirányítóval, mely ALL ON/OFF gombokkal rendelkezik, lehetővé téve minden aljzat egyidejű vezérlését. A LED visszajelző segítségével könnyen nyomon követheti az eszközök állapotát. A távirányító tápellátását egy 3 V-os CR2032 elem biztosítja, amely a csomag része.
Az aljzatok egyszerűen taníthatók, és kizárólag száraz, beltéri körülmények között használhatók. A Home TH2311 kompatibilis a külön megvásárolható NVS 3 RF SMART aljzattal is, így okostelefonos applikációval is vezérelhetővé válik, még nagyobb kényelmet és rugalmasságot biztosítva. A termék 230 V~/50 Hz feszültségen működik, és maximum 10 A áramerősséget, valamint 2300 W teljesítményt képes kezelni.
Ne habozzon, tegye otthonát még intelligensebbé és kényelmesebbé ezzel a praktikus távirányítható aljzat szettel! Vásároljon most, és élvezze a modern technológia előnyeit minden nap!</t>
        </is>
      </c>
    </row>
    <row r="902">
      <c r="A902" s="3" t="inlineStr">
        <is>
          <t>TH 3013</t>
        </is>
      </c>
      <c r="B902" s="2" t="inlineStr">
        <is>
          <t>Home TH 3013 távirányítható hálózati aljzatszett, 40 m hatótáv, max. 3000 W, rádiós összeköttetés, 230 V, egyszerűen tanítható, fehér</t>
        </is>
      </c>
      <c r="C902" s="1" t="n">
        <v>11890.0</v>
      </c>
      <c r="D902" s="7" t="n">
        <f>HYPERLINK("https://www.somogyi.hu/product/home-th-3013-taviranyithato-halozati-aljzatszett-40-m-hatotav-max-3000-w-radios-osszekottetes-230-v-egyszeruen-tanithato-feher-th-3013-16542","https://www.somogyi.hu/product/home-th-3013-taviranyithato-halozati-aljzatszett-40-m-hatotav-max-3000-w-radios-osszekottetes-230-v-egyszeruen-tanithato-feher-th-3013-16542")</f>
        <v>0.0</v>
      </c>
      <c r="E902" s="7" t="n">
        <f>HYPERLINK("https://www.somogyi.hu/data/img/product_main_images/small/16542.jpg","https://www.somogyi.hu/data/img/product_main_images/small/16542.jpg")</f>
        <v>0.0</v>
      </c>
      <c r="F902" s="2" t="inlineStr">
        <is>
          <t>5999084945749</t>
        </is>
      </c>
      <c r="G902" s="4" t="inlineStr">
        <is>
          <t>A TH 3013 Távirányítható hálózati aljzat szett hasznos lehet minden háztartásban, mivel a hozzá csatlakoztatott készüléket távirányítóval könnyedén tudja vezérelni. Hatótávolsága nyílt terepen 40 m. A távirányítható hálózati aljzat maximum 3000 W-ig terhelhető. 
Az aljzat egyszerűen tanítható, valamint egy távirányító 3 csoport (A,B,C) aljzatainak vezérlésére képes. 
Ha applikációval szeretné vezérelni, akkor vásárolja meg oldalunkról az NVS 3 RF cikkszámú SMART aljzatot.
A csomag tartalmaz 3 db aljzatot, 1 db távirányítót és a hozzá tartozó CR2032 (3V) elemet.</t>
        </is>
      </c>
    </row>
    <row r="903">
      <c r="A903" s="3" t="inlineStr">
        <is>
          <t>TH2313</t>
        </is>
      </c>
      <c r="B903" s="2" t="inlineStr">
        <is>
          <t>Home TH2313 távirányítható mini hálózati aljzat szett, 2300 W, 3 aljzat + 1 távirányító, 40m hatótáv</t>
        </is>
      </c>
      <c r="C903" s="1" t="n">
        <v>10890.0</v>
      </c>
      <c r="D903" s="7" t="n">
        <f>HYPERLINK("https://www.somogyi.hu/product/home-th2313-taviranyithato-mini-halozati-aljzat-szett-2300-w-3-aljzat-1-taviranyito-40m-hatotav-th2313-18454","https://www.somogyi.hu/product/home-th2313-taviranyithato-mini-halozati-aljzat-szett-2300-w-3-aljzat-1-taviranyito-40m-hatotav-th2313-18454")</f>
        <v>0.0</v>
      </c>
      <c r="E903" s="7" t="n">
        <f>HYPERLINK("https://www.somogyi.hu/data/img/product_main_images/small/18454.jpg","https://www.somogyi.hu/data/img/product_main_images/small/18454.jpg")</f>
        <v>0.0</v>
      </c>
      <c r="F903" s="2" t="inlineStr">
        <is>
          <t>5999084964726</t>
        </is>
      </c>
      <c r="G903" s="4" t="inlineStr">
        <is>
          <t>Szeretné egyszerűen és távolról vezérelni otthoni elektromos készülékeit? A Home TH2313 távirányítható mini hálózati aljzat szett három aljzatot és egy távirányítót tartalmaz, amelyekkel könnyedén irányíthatja eszközeit. 
A szett 40 méteres hatótávolsággal rendelkezik nyílt terepen, és rádiós összeköttetést biztosít a 433,92 MHz frekvencián. Ezek az aljzatok száraz, beltéri körülmények között használhatók, és egyszerűen taníthatók a távirányítóval. Egyetlen távirányító három csoport (A, B, C) aljzatainak vezérlésére képes, valamint az ALL ON/OFF gombok segítségével minden aljzat egyidejű vezérlése is megoldható. A LED visszajelző segítségével könnyedén ellenőrizheti az aljzatok állapotát.
A távirányító tápellátása egy 3 V-os CR2032 elem, amely a csomag része. A Home TH2313 szett kompatibilis a külön megvásárolható NVS 3 RF SMART aljzattal, így okostelefonos applikációval is vezérelhető, még nagyobb kényelmet és rugalmasságot biztosítva. A termék 230 V~/50 Hz feszültséggel működik, és maximum 10 A áramerősséget, valamint 2300 W teljesítményt képes kezelni.
Tegye otthonát még kényelmesebbé és modernebbé ezzel a praktikus távirányítható aljzat szettel! Vásároljon most, és élvezze a könnyed vezérlés előnyeit minden nap!</t>
        </is>
      </c>
    </row>
    <row r="904">
      <c r="A904" s="3" t="inlineStr">
        <is>
          <t>THO 2</t>
        </is>
      </c>
      <c r="B904" s="2" t="inlineStr">
        <is>
          <t>Távirányítható kültéri hálózati aljzat</t>
        </is>
      </c>
      <c r="C904" s="1" t="n">
        <v>2790.0</v>
      </c>
      <c r="D904" s="7" t="n">
        <f>HYPERLINK("https://www.somogyi.hu/product/taviranyithato-kulteri-halozati-aljzat-tho-2-16228","https://www.somogyi.hu/product/taviranyithato-kulteri-halozati-aljzat-tho-2-16228")</f>
        <v>0.0</v>
      </c>
      <c r="E904" s="7" t="n">
        <f>HYPERLINK("https://www.somogyi.hu/data/img/product_main_images/small/16228.jpg","https://www.somogyi.hu/data/img/product_main_images/small/16228.jpg")</f>
        <v>0.0</v>
      </c>
      <c r="F904" s="2" t="inlineStr">
        <is>
          <t>5999084942601</t>
        </is>
      </c>
      <c r="G904" s="4" t="inlineStr">
        <is>
          <t>A THO 2 Távirányítható kültéri hálózati aljzat hasznos lehet minden háztartásban, mivel a hozzá csatlakoztatott készüléket távirányítóval könnyedén tudja vezérelni. Hatótávolsága nyílt terepen 40 m, így a lakásból egy gombnyomással bekapcsolhatja például a karácsonyi dekorációt. Az aljzaton található gomb segítségével nem csak távirányítóval, hanem manuálisan is kapcsolható a készülék.
A biztonságos használatot az IP 44 védelem biztosítja. Maximum 3680 W-ig terhelhető. 
Az aljzat egyszerűen tanítható a THO 111 vagy a THO 113 szettek távirányítójához. Ha applikációval szeretné vezérelni, akkor vásárolja meg oldalunkról az NVS 3 RF cikkszámú SMART aljzatot.
A készülék alkalmas az Európai Unió tagállamaiban való használatra. 
A távirányító nem tartozéka a csomagnak.</t>
        </is>
      </c>
    </row>
    <row r="905">
      <c r="A905" s="3" t="inlineStr">
        <is>
          <t>TH 3000</t>
        </is>
      </c>
      <c r="B905" s="2" t="inlineStr">
        <is>
          <t>Home TH 3000 távirányítható hálózati aljzat, 40 m hatótáv, max. 3000 W, TH 1011 és TH 1013 szetthez tanítható, rádiós összeköttetés, 230 V, fehér</t>
        </is>
      </c>
      <c r="C905" s="1" t="n">
        <v>3790.0</v>
      </c>
      <c r="D905" s="7" t="n">
        <f>HYPERLINK("https://www.somogyi.hu/product/home-th-3000-taviranyithato-halozati-aljzat-40-m-hatotav-max-3000-w-th-1011-es-th-1013-szetthez-tanithato-radios-osszekottetes-230-v-feher-th-3000-16540","https://www.somogyi.hu/product/home-th-3000-taviranyithato-halozati-aljzat-40-m-hatotav-max-3000-w-th-1011-es-th-1013-szetthez-tanithato-radios-osszekottetes-230-v-feher-th-3000-16540")</f>
        <v>0.0</v>
      </c>
      <c r="E905" s="7" t="n">
        <f>HYPERLINK("https://www.somogyi.hu/data/img/product_main_images/small/16540.jpg","https://www.somogyi.hu/data/img/product_main_images/small/16540.jpg")</f>
        <v>0.0</v>
      </c>
      <c r="F905" s="2" t="inlineStr">
        <is>
          <t>5999084945725</t>
        </is>
      </c>
      <c r="G905" s="4" t="inlineStr">
        <is>
          <t>A TH 3000 Távirányítható hálózati aljzat hasznos lehet minden háztartásban, mivel a hozzá csatlakoztatott készüléket távirányítóval könnyedén tudja vezérelni. Egyszerűen tanítható a TH 3011 vagy a TH 3013 szettek távirányítójához. Ha applikációval szeretné vezérelni, akkor vásárolja meg oldalunkról az NVS 3 RF cikkszámú SMART aljzatot. Hatótávolsága nyílt terepen 40 m. 
A távirányítható hálózati aljzat maximum 3000 W-ig terhelhető. 
A távirányító nem tartozéka a csomagnak.</t>
        </is>
      </c>
    </row>
    <row r="906">
      <c r="A906" s="3" t="inlineStr">
        <is>
          <t>THO2311</t>
        </is>
      </c>
      <c r="B906" s="2" t="inlineStr">
        <is>
          <t>Home THO2311 távirányítható kültéri hálózati aljzat szett, IP44, 2300 W, 1 aljzat +1 távirányító, 40m hatótáv</t>
        </is>
      </c>
      <c r="C906" s="1" t="n">
        <v>6290.0</v>
      </c>
      <c r="D906" s="7" t="n">
        <f>HYPERLINK("https://www.somogyi.hu/product/home-tho2311-taviranyithato-kulteri-halozati-aljzat-szett-ip44-2300-w-1-aljzat-1-taviranyito-40m-hatotav-tho2311-18450","https://www.somogyi.hu/product/home-tho2311-taviranyithato-kulteri-halozati-aljzat-szett-ip44-2300-w-1-aljzat-1-taviranyito-40m-hatotav-tho2311-18450")</f>
        <v>0.0</v>
      </c>
      <c r="E906" s="7" t="n">
        <f>HYPERLINK("https://www.somogyi.hu/data/img/product_main_images/small/18450.jpg","https://www.somogyi.hu/data/img/product_main_images/small/18450.jpg")</f>
        <v>0.0</v>
      </c>
      <c r="F906" s="2" t="inlineStr">
        <is>
          <t>5999084964689</t>
        </is>
      </c>
      <c r="G906" s="4" t="inlineStr">
        <is>
          <t>Gondolkodott már azon, hogyan könnyítheti meg a kültéri eszközök vezérlését otthonában? A Home THO2311 távirányítható kültéri hálózati aljzat szett ideális megoldás, ha kényelmesen és hatékonyan szeretné irányítani kültéri elektromos készülékeit. 
A szett egy távirányítható aljzatot és egy távirányítót tartalmaz, amelyek 40 méteres hatótávolsággal rendelkeznek nyílt terepen, és rádiós összeköttetést biztosítanak a 433,92 MHz frekvencián.
Az IP44-es védelemmel ellátott aljzat freccsenő víz ellen védett, így biztonságosan használható kültéren is. Az aljzat egyszerűen tanítható, és a távirányító segítségével három csoportba (A, B, C) rendezett aljzatok vezérlésére is alkalmas. Az ALL ON/OFF gombok lehetővé teszik, hogy minden aljzatot egyidejűleg vezéreljen. A LED visszajelző segítségével könnyen nyomon követheti az aljzatok állapotát.
A távirányító tápellátása egy 3 V-os CR2032 elem, amely a csomag része. A Home THO2311 szett kompatibilis a külön megvásárolható NVS 3 RF SMART aljzattal is, így okostelefonos applikációval is vezérelhető, még nagyobb kényelmet és rugalmasságot biztosítva. A termék 230 V~/50 Hz feszültséggel működik, és maximum 10 A áramerősséget, valamint 2300 W teljesítményt képes kezelni.
Ne habozzon, tegye kényelmesebbé és modernebbé kültéri eszközeinek vezérlését ezzel a praktikus távirányítható aljzat szettel! Vásároljon most, és élvezze a könnyed vezérlés előnyeit minden nap!</t>
        </is>
      </c>
    </row>
    <row r="907">
      <c r="A907" s="3" t="inlineStr">
        <is>
          <t>THO 1</t>
        </is>
      </c>
      <c r="B907" s="2" t="inlineStr">
        <is>
          <t>Home THO 1 távirányítható kültéri hálózati aljzat, 40 m hatótáv, IP44 védelem, max. 1000 W, THO 111 és THO 113 szetthez tanítható, rádiós összeköttetés, 230 V, fekete</t>
        </is>
      </c>
      <c r="C907" s="1" t="n">
        <v>2590.0</v>
      </c>
      <c r="D907" s="7" t="n">
        <f>HYPERLINK("https://www.somogyi.hu/product/home-tho-1-taviranyithato-kulteri-halozati-aljzat-40-m-hatotav-ip44-vedelem-max-1000-w-tho-111-es-tho-113-szetthez-tanithato-radios-osszekottetes-230-v-fekete-tho-1-16223","https://www.somogyi.hu/product/home-tho-1-taviranyithato-kulteri-halozati-aljzat-40-m-hatotav-ip44-vedelem-max-1000-w-tho-111-es-tho-113-szetthez-tanithato-radios-osszekottetes-230-v-fekete-tho-1-16223")</f>
        <v>0.0</v>
      </c>
      <c r="E907" s="7" t="n">
        <f>HYPERLINK("https://www.somogyi.hu/data/img/product_main_images/small/16223.jpg","https://www.somogyi.hu/data/img/product_main_images/small/16223.jpg")</f>
        <v>0.0</v>
      </c>
      <c r="F907" s="2" t="inlineStr">
        <is>
          <t>5999084942557</t>
        </is>
      </c>
      <c r="G907" s="4" t="inlineStr">
        <is>
          <t>A THO 1 Távirányítható kültéri hálózati aljzat hasznos lehet minden háztartásban, mivel a hozzá csatlakoztatott készüléket távirányítóval könnyedén tudja vezérelni. Hatótávolsága nyílt terepen 40 m, így a lakásból egy gombnyomással bekapcsolhatja például a karácsonyi dekorációt. Az aljzaton található gomb segítségével nem csak távirányítóval, hanem manuálisan is kapcsolható a készülék.
A biztonságos használatot az IP 44 védelem biztosítja. Maximum 1000 W-ig terhelhető. 
Az aljzat egyszerűen tanítható a THO 111 vagy a THO 113 szettek távirányítójához. Ha applikációval szeretné vezérelni, akkor vásárolja meg oldalunkról az NVS 3 RF cikkszámú SMART aljzatot.
A készülék alkalmas az Európai Unió tagállamaiban való használatra. 
A távirányító nem tartozéka a csomagnak.</t>
        </is>
      </c>
    </row>
    <row r="908">
      <c r="A908" s="3" t="inlineStr">
        <is>
          <t>NV 4 WIFI</t>
        </is>
      </c>
      <c r="B908" s="2" t="inlineStr">
        <is>
          <t>Home NV 4 WIFI smart elosztó, 1,5 m, H05VV-F 3G1,5 mm2 kábel, 4 földelt aljzat, 4 USB aljzat, max.3680W, Tuya alkalmazás kompatibilis, WiFi-s</t>
        </is>
      </c>
      <c r="C908" s="1" t="n">
        <v>15990.0</v>
      </c>
      <c r="D908" s="7" t="n">
        <f>HYPERLINK("https://www.somogyi.hu/product/home-nv-4-wifi-smart-eloszto-1-5-m-h05vv-f-3g1-5-mm2-kabel-4-foldelt-aljzat-4-usb-aljzat-max-3680w-tuya-alkalmazas-kompatibilis-wifi-s-nv-4-wifi-17610","https://www.somogyi.hu/product/home-nv-4-wifi-smart-eloszto-1-5-m-h05vv-f-3g1-5-mm2-kabel-4-foldelt-aljzat-4-usb-aljzat-max-3680w-tuya-alkalmazas-kompatibilis-wifi-s-nv-4-wifi-17610")</f>
        <v>0.0</v>
      </c>
      <c r="E908" s="7" t="n">
        <f>HYPERLINK("https://www.somogyi.hu/data/img/product_main_images/small/17610.jpg","https://www.somogyi.hu/data/img/product_main_images/small/17610.jpg")</f>
        <v>0.0</v>
      </c>
      <c r="F908" s="2" t="inlineStr">
        <is>
          <t>5999084956325</t>
        </is>
      </c>
      <c r="G908" s="4" t="inlineStr">
        <is>
          <t>Szeretné otthoni eszközeit távolról is vezérelni egy kényelmes és modern elosztóval? A Home NV 4 WIFI smart elosztó ideális megoldást nyújt, hiszen a négy földelt aljzat külön-külön is vezérelhető a TUYA (WiFi) alkalmazáson keresztül. 
Ez a funkció lehetővé teszi, hogy okostelefonjáról vagy táblagépéről irányítsa az eszközeit, akár otthon tartózkodik, akár távol van lakásától.
A készülék négy földelt aljzattal (230V~/max.16A/max.3680W) van felszerelve, amelyek nagy teljesítményű eszközök csatlakoztatását is lehetővé teszik. Emellett a négy USB töltőaljzat (5 V/összesen 4800 mA) biztosítja, hogy egyszerre több USB-eszközt is tölthet. A praktikus 1,5 méteres H05VV-F 3G1,5 mm2 csatlakozóvezetékkel könnyedén elérheti a kívánt áramforrást.
Ne hagyja ki ezt a lehetőséget, válassza a Home NV 4 WIFI smart elosztót, és élvezze a modern technológia nyújtotta kényelmet és biztonságot otthonában!</t>
        </is>
      </c>
    </row>
    <row r="909">
      <c r="A909" s="3" t="inlineStr">
        <is>
          <t>NVS 32 PRO</t>
        </is>
      </c>
      <c r="B909" s="2" t="inlineStr">
        <is>
          <t>Home NVS 32 PRO SMART elosztó, SMART LIFE alkalmazással távolról vezérelhető, 2 db földelt aljzat gyermekvédelemmel, Wi-Fi 2,4 GHz 802.11 b/g/n</t>
        </is>
      </c>
      <c r="C909" s="1" t="n">
        <v>7690.0</v>
      </c>
      <c r="D909" s="7" t="n">
        <f>HYPERLINK("https://www.somogyi.hu/product/home-nvs-32-pro-smart-eloszto-smart-life-alkalmazassal-tavolrol-vezerelheto-2-db-foldelt-aljzat-gyermekvedelemmel-wi-fi-2-4-ghz-802-11-b-g-n-nvs-32-pro-17933","https://www.somogyi.hu/product/home-nvs-32-pro-smart-eloszto-smart-life-alkalmazassal-tavolrol-vezerelheto-2-db-foldelt-aljzat-gyermekvedelemmel-wi-fi-2-4-ghz-802-11-b-g-n-nvs-32-pro-17933")</f>
        <v>0.0</v>
      </c>
      <c r="E909" s="7" t="n">
        <f>HYPERLINK("https://www.somogyi.hu/data/img/product_main_images/small/17933.jpg","https://www.somogyi.hu/data/img/product_main_images/small/17933.jpg")</f>
        <v>0.0</v>
      </c>
      <c r="F909" s="2" t="inlineStr">
        <is>
          <t>5999084959555</t>
        </is>
      </c>
      <c r="G909" s="4" t="inlineStr">
        <is>
          <t>Egy modern, új technológiájú okos elosztót keres? A Home NVS 32 PRO épp ezt a lehetőséget kínálja Önnek, modern és felhasználóbarát megoldásokkal!
Ez a készülék lehetővé teszi, hogy a földelt aljzatokat külön-külön vezérelje a SMART LIFE alkalmazáson keresztül. Ez azt jelenti, hogy az aljzatok be- és kikapcsolása, időzítése, visszaszámlálása és az energiafogyasztás nyomon követése mind a kezében van, mindössze néhány kattintással. 
A Home NVS 32 PRO két földelt aljzattal rendelkezik, mindkettő gyermekvédelemmel ellátva, így biztonságosan használhatja otthonában (230 V~ 50 Hz).
A készülék Wi-Fi kapcsolata 2,4 GHz-es 1T1R technológiával biztosítja a stabil és megbízható csatlakozást. Ezáltal akkor is irányíthatja az eszközt, ha éppen nem tartózkodik otthonában.
A Home NVS 32 PRO tökéletes választás azok számára, akik szeretnének belekóstolni az okos otthonok világába, anélkül, hogy bonyolult telepítési folyamatokon kellene átmenniük. Egyszerűen csatlakoztassa, konfigurálja az alkalmazást, és élvezze azonnali, intelligens otthoni vezérlés előnyeit. 
Változtassa meg otthona működését a Home NVS 32 PRO-val – intelligens, egyszerű és biztonságos megoldás mindenki számára!</t>
        </is>
      </c>
    </row>
    <row r="910">
      <c r="A910" s="3" t="inlineStr">
        <is>
          <t>NVKP 01</t>
        </is>
      </c>
      <c r="B910" s="2" t="inlineStr">
        <is>
          <t>Home NVKP 01 elem nélküli távkapcsoló, csengők és hálózati kapcsolók bővítéséhez, 120 m hatótáv, víznek fokozottan ellenálló, kinetikus energia</t>
        </is>
      </c>
      <c r="C910" s="1" t="n">
        <v>4090.0</v>
      </c>
      <c r="D910" s="7" t="n">
        <f>HYPERLINK("https://www.somogyi.hu/product/home-nvkp-01-elem-nelkuli-tavkapcsolo-csengok-es-halozati-kapcsolok-bovitesehez-120-m-hatotav-viznek-fokozottan-ellenallo-kinetikus-energia-nvkp-01-18050","https://www.somogyi.hu/product/home-nvkp-01-elem-nelkuli-tavkapcsolo-csengok-es-halozati-kapcsolok-bovitesehez-120-m-hatotav-viznek-fokozottan-ellenallo-kinetikus-energia-nvkp-01-18050")</f>
        <v>0.0</v>
      </c>
      <c r="E910" s="7" t="n">
        <f>HYPERLINK("https://www.somogyi.hu/data/img/product_main_images/small/18050.jpg","https://www.somogyi.hu/data/img/product_main_images/small/18050.jpg")</f>
        <v>0.0</v>
      </c>
      <c r="F910" s="2" t="inlineStr">
        <is>
          <t>5999084960728</t>
        </is>
      </c>
      <c r="G910" s="4" t="inlineStr">
        <is>
          <t>Gondolt már arra, milyen kényelmes lenne egy elem nélküli, megbízható távkapcsoló, amely soha nem igényel karbantartást?
A Home NVKP 01 elem nélküli távkapcsoló modern megoldást kínál csengők és hálózati kapcsolók bővítéséhez vagy pótlásához. Az innovatív kinetikus energia technológiának köszönhetően a távkapcsoló működéséhez nincs szükség elemre – minden egyes gombnyomás elegendő energiát generál a jelek továbbításához, így mindig működőképes marad, anélkül, hogy az elemek cseréjével kellene bajlódnia.
Kiemelkedő teljesítmény és széles körű kompatibilitás
Ez a távkapcsoló kompatibilis olyan vevőegységekkel, mint a DBK 1200AC, DBKS 1200AC, NVK SWITCH és NVK 3 SWITCH, így ideális választás bővítési célokra. Az akár 120 méteres hatótávolság nyílt terepen biztosítja, hogy nagyobb területeken is zavartalanul használható legyen, miközben a 433,92 MHz-es működési frekvencia gondoskodik a stabil jelátvitelről.
Különleges tulajdonságok a maximális kényelem érdekében
- Elem nélküli működés: A kinetikus energia felhasználásával minden gombnyomás elegendő energiát termel a működéshez, így soha nem kell elemet cserélnie.
- Víznek fokozottan ellenálló kialakítás: Kültéri használatra is kiváló, mivel az időjárás viszontagságai sem befolyásolják megbízható működését.
- Több vevőegység párosítható: Egyetlen távkapcsolóhoz több vevőegység is csatlakoztatható, ami nagyban növeli a rendszer rugalmasságát.
- Több távirányító párosítható egy vevőhöz: Akár 8 különböző távirányítót is csatlakoztathat egy vevőegységhez, ami ideális megoldás nagyobb létszámú háztartások vagy irodák számára.
- Szélsőséges körülmények között is működőképes: Hideg időjárás esetén is biztos működést nyújt, így egész évben számíthat rá.
- Kompakt méret: A mindössze 50 x 82 x 22 mm-es kialakításának köszönhetően diszkréten elhelyezhető bármilyen környezetben.
Miért érdemes választani?
A Home NVKP 01 távkapcsoló innovatív technológiája, megbízható működése és széles körű kompatibilitása ideális választássá teszi mind otthoni, mind ipari felhasználásra. Felejtse el az elemekkel járó költségeket és kényelmetlenségeket – válassza ezt a környezetbarát, hosszú távú megoldást! Tegye kényelmesebbé és egyszerűbbé mindennapjait a Home NVKP 01 elem nélküli távkapcsolóval, és élvezze a modern technológia előnyeit!</t>
        </is>
      </c>
    </row>
    <row r="911">
      <c r="A911" s="3" t="inlineStr">
        <is>
          <t>THO 111</t>
        </is>
      </c>
      <c r="B911" s="2" t="inlineStr">
        <is>
          <t>Home THO 111 távirányítható kültéri hálózati aljzatszett, 40 m hatótáv, IP44 védelem, max. 1000 W, rádiós összeköttetés, 230 V, fekete</t>
        </is>
      </c>
      <c r="C911" s="1" t="n">
        <v>5790.0</v>
      </c>
      <c r="D911" s="7" t="n">
        <f>HYPERLINK("https://www.somogyi.hu/product/home-tho-111-taviranyithato-kulteri-halozati-aljzatszett-40-m-hatotav-ip44-vedelem-max-1000-w-radios-osszekottetes-230-v-fekete-tho-111-16224","https://www.somogyi.hu/product/home-tho-111-taviranyithato-kulteri-halozati-aljzatszett-40-m-hatotav-ip44-vedelem-max-1000-w-radios-osszekottetes-230-v-fekete-tho-111-16224")</f>
        <v>0.0</v>
      </c>
      <c r="E911" s="7" t="n">
        <f>HYPERLINK("https://www.somogyi.hu/data/img/product_main_images/small/16224.jpg","https://www.somogyi.hu/data/img/product_main_images/small/16224.jpg")</f>
        <v>0.0</v>
      </c>
      <c r="F911" s="2" t="inlineStr">
        <is>
          <t>5999084942564</t>
        </is>
      </c>
      <c r="G911" s="4" t="inlineStr">
        <is>
          <t>A THO 111 Távirányítható kültéri hálózati aljzat szett hasznos lehet minden háztartásban, mivel a hozzá csatlakoztatott készüléket távirányítóval könnyedén tudja vezérelni. Hatótávolsága nyílt terepen 40 m, így a lakásból egy gombnyomással bekapcsolhatja például a karácsonyi dekorációt. Az aljzaton található gomb segítségével nem csak távirányítóval, hanem manuálisan is kapcsolható a készülék.
A biztonságos használatot az IP 44 védelem biztosítja. Maximum 1000 W-ig terhelhető. 
Az aljzat egyszerűen tanítható, valamint egy távirányító 4 csoport (A,B,C,D) aljzatainak vezérlésére képes. A MASTER ON/OFF gombok minden aljzat egyidejű vezérlését biztosítja. 
Ha applikációval szeretné vezérelni, akkor vásárolja meg oldalunkról az NVS 3 RF cikkszámú SMART aljzatot.
A készülék alkalmas az Európai Unió tagállamaiban való használatra. 
A csomag tartalmaz 1 db kültéri aljzatot, 1 db távirányítót és a hozzá tartozó A CR2032 (3V) elemet.</t>
        </is>
      </c>
    </row>
    <row r="912">
      <c r="A912" s="3" t="inlineStr">
        <is>
          <t>TH2300</t>
        </is>
      </c>
      <c r="B912" s="2" t="inlineStr">
        <is>
          <t>Home TH2300 távirányítható mini hálózati aljzat, max. 2300W, 40m hatótáv, LED visszajelző</t>
        </is>
      </c>
      <c r="C912" s="1" t="n">
        <v>4090.0</v>
      </c>
      <c r="D912" s="7" t="n">
        <f>HYPERLINK("https://www.somogyi.hu/product/home-th2300-taviranyithato-mini-halozati-aljzat-max-2300w-40m-hatotav-led-visszajelzo-th2300-18452","https://www.somogyi.hu/product/home-th2300-taviranyithato-mini-halozati-aljzat-max-2300w-40m-hatotav-led-visszajelzo-th2300-18452")</f>
        <v>0.0</v>
      </c>
      <c r="E912" s="7" t="n">
        <f>HYPERLINK("https://www.somogyi.hu/data/img/product_main_images/small/18452.jpg","https://www.somogyi.hu/data/img/product_main_images/small/18452.jpg")</f>
        <v>0.0</v>
      </c>
      <c r="F912" s="2" t="inlineStr">
        <is>
          <t>5999084964702</t>
        </is>
      </c>
      <c r="G912" s="4" t="inlineStr">
        <is>
          <t>Szeretné könnyedén irányítani otthoni elektromos eszközeit, akár távolról is? A Home TH2300 távirányítható mini hálózati aljzat ideális megoldást kínál a kényelmes és hatékony vezérlésre. 
Ez a praktikus eszköz 40 méteres hatótávolsággal rendelkezik nyílt terepen, és rádiós összeköttetést biztosít a 433,92 MHz frekvencián.
A TH2300 aljzat kizárólag száraz, beltéri körülmények között használható, és egyszerűen tanítható a TH2311 és TH2313 szettek távirányítójához. Az eszköz LED visszajelzővel van ellátva, ami segíti a működés és a kapcsolat állapotának nyomon követését.
Ezen kívül a TH2300 kompatibilis a külön megvásárolható NVS 3 RF SMART aljzattal, így okostelefonos applikációval is vezérelhető, még nagyobb kényelmet és rugalmasságot biztosítva. A termék 230 V~/50 Hz feszültséggel működik, és maximum 10 A áramerősséget, valamint 2300 W teljesítményt képes kezelni.
Ne habozzon, tegye otthonát még intelligensebbé és kényelmesebbé ezzel a sokoldalú távirányítható aljzattal! Vásároljon most, és élvezze a modern technológia előnyeit minden nap!</t>
        </is>
      </c>
    </row>
    <row r="913">
      <c r="A913" s="3" t="inlineStr">
        <is>
          <t>THO2313</t>
        </is>
      </c>
      <c r="B913" s="2" t="inlineStr">
        <is>
          <t>Home THO2313 távirányítható kültéri hálózati aljzat szett, IP44, 2300 W, 3 aljzat +1 távirányító, 40m hatótáv</t>
        </is>
      </c>
      <c r="C913" s="1" t="n">
        <v>13290.0</v>
      </c>
      <c r="D913" s="7" t="n">
        <f>HYPERLINK("https://www.somogyi.hu/product/home-tho2313-taviranyithato-kulteri-halozati-aljzat-szett-ip44-2300-w-3-aljzat-1-taviranyito-40m-hatotav-tho2313-18451","https://www.somogyi.hu/product/home-tho2313-taviranyithato-kulteri-halozati-aljzat-szett-ip44-2300-w-3-aljzat-1-taviranyito-40m-hatotav-tho2313-18451")</f>
        <v>0.0</v>
      </c>
      <c r="E913" s="7" t="n">
        <f>HYPERLINK("https://www.somogyi.hu/data/img/product_main_images/small/18451.jpg","https://www.somogyi.hu/data/img/product_main_images/small/18451.jpg")</f>
        <v>0.0</v>
      </c>
      <c r="F913" s="2" t="inlineStr">
        <is>
          <t>5999084964696</t>
        </is>
      </c>
      <c r="G913" s="4" t="inlineStr">
        <is>
          <t>Szeretné kényelmesen és biztonságosan vezérelni kültéri eszközeit? A Home THO2313 távirányítható kültéri hálózati aljzat szett tökéletes megoldást kínál az egyszerű és hatékony eszközvezérléshez a szabadban. 
A szett három távirányítható aljzatot és egy távirányítót tartalmaz, melyek 40 méteres hatótávolsággal rendelkeznek nyílt terepen, és rádiós összeköttetést biztosítanak a 433,92 MHz frekvencián.
Az IP44-es védelemmel ellátott aljzatok freccsenő víz ellen védettek, így biztonságosan használhatók kültéri körülmények között. Az aljzatok egyszerűen taníthatók, és egy távirányítóval három csoportba (A, B, C) rendezett aljzatokat vezérelhet. Az ALL ON/OFF gombok segítségével minden aljzatot egyszerre kapcsolhat be vagy ki, maximális kényelmet biztosítva. A LED visszajelző mutatja az aljzatok aktuális állapotát.
A távirányító tápellátását egy 3 V-os CR2032 elem biztosítja, amely a csomag része. A Home THO2313 szett kompatibilis a külön megvásárolható NVS 3 RF SMART aljzattal is, amely lehetővé teszi az aljzatok okostelefonos applikációval történő vezérlését, még nagyobb rugalmasságot kínálva. A termék 230 V~/50 Hz feszültséggel működik, és maximum 10 A áramerősséget, valamint 2300 W teljesítményt képes kezelni.
Tegye egyszerűbbé és modernebbé kültéri eszközeinek vezérlését ezzel a praktikus és biztonságos távirányítható aljzat szettel! Vásároljon most, és élvezze a kényelmet minden nap!</t>
        </is>
      </c>
    </row>
    <row r="914">
      <c r="A914" s="3" t="inlineStr">
        <is>
          <t>NVS 3 RF</t>
        </is>
      </c>
      <c r="B914" s="2" t="inlineStr">
        <is>
          <t>Home NVS 3 RF SMART aljzat RF master funkcióval, 433,92 MHz-es távirányítható aljzatok vezérlése távolról, Wi-Fi 2,4 GHz 802.11 b/g/n</t>
        </is>
      </c>
      <c r="C914" s="1" t="n">
        <v>7790.0</v>
      </c>
      <c r="D914" s="7" t="n">
        <f>HYPERLINK("https://www.somogyi.hu/product/home-nvs-3-rf-smart-aljzat-rf-master-funkcioval-433-92-mhz-es-taviranyithato-aljzatok-vezerlese-tavolrol-wi-fi-2-4-ghz-802-11-b-g-n-nvs-3-rf-17942","https://www.somogyi.hu/product/home-nvs-3-rf-smart-aljzat-rf-master-funkcioval-433-92-mhz-es-taviranyithato-aljzatok-vezerlese-tavolrol-wi-fi-2-4-ghz-802-11-b-g-n-nvs-3-rf-17942")</f>
        <v>0.0</v>
      </c>
      <c r="E914" s="7" t="n">
        <f>HYPERLINK("https://www.somogyi.hu/data/img/product_main_images/small/17942.jpg","https://www.somogyi.hu/data/img/product_main_images/small/17942.jpg")</f>
        <v>0.0</v>
      </c>
      <c r="F914" s="2" t="inlineStr">
        <is>
          <t>5999084959647</t>
        </is>
      </c>
      <c r="G914" s="4" t="inlineStr">
        <is>
          <t>Az NV 3 RF SMART aljzat praktikus megoldás lehet minden lakásba, mivel a hozzá csatlakoztatott készülékeket távolról el tudja érni. 
Okostelefonos alkalmazással távolról is ki- be kapcsolhatjuk az otthoni Wi-Fi környezetben az aljzatba csatlakoztatott készüléket. (IOS 7.0 és Android 4.0 felett). Az aljzat a telefonos applikációval képes a termékcsaládba tartozó hagyományos 433,92 MHz-es távirányítható aljzatok vezérlésére! (THO, TH 1000, TH 3000 termékcsaládok). Csak töltse le a KT Smart Wifi applikációt és párosítsa egyszerűen az aljzatot. 
További hasznos tulajdonsága még, hogy időzítővel és visszaszámláló funkcióval is ellátott. 
Használja akár elektromos fűtő vagy hűtőtestekhez és amire hazaér, már kellemes hőmérséklet lesz a lakásban.</t>
        </is>
      </c>
    </row>
    <row r="915">
      <c r="A915" s="6" t="inlineStr">
        <is>
          <t xml:space="preserve">   Villamosság / Francia csatlakozós hálózati hosszabbító, elosztó, aljzat</t>
        </is>
      </c>
      <c r="B915" s="6" t="inlineStr">
        <is>
          <t/>
        </is>
      </c>
      <c r="C915" s="6" t="inlineStr">
        <is>
          <t/>
        </is>
      </c>
      <c r="D915" s="6" t="inlineStr">
        <is>
          <t/>
        </is>
      </c>
      <c r="E915" s="6" t="inlineStr">
        <is>
          <t/>
        </is>
      </c>
      <c r="F915" s="6" t="inlineStr">
        <is>
          <t/>
        </is>
      </c>
      <c r="G915" s="6" t="inlineStr">
        <is>
          <t/>
        </is>
      </c>
    </row>
    <row r="916">
      <c r="A916" s="3" t="inlineStr">
        <is>
          <t>NVF 2-5/WH/1,5</t>
        </is>
      </c>
      <c r="B916" s="2" t="inlineStr">
        <is>
          <t>Magyarországon nem használható, vagy egyszer már létező cikkszám</t>
        </is>
      </c>
      <c r="C916" s="1" t="n">
        <v>3290.0</v>
      </c>
      <c r="D916" s="7" t="n">
        <f>HYPERLINK("https://www.somogyi.hu/product/magyarorszagon-nem-hasznalhato-vagy-egyszer-mar-letezo-cikkszam-nvf-2-5-wh-1-5-17152","https://www.somogyi.hu/product/magyarorszagon-nem-hasznalhato-vagy-egyszer-mar-letezo-cikkszam-nvf-2-5-wh-1-5-17152")</f>
        <v>0.0</v>
      </c>
      <c r="E916" s="7" t="n">
        <f>HYPERLINK("https://www.somogyi.hu/data/img/product_main_images/small/17152.jpg","https://www.somogyi.hu/data/img/product_main_images/small/17152.jpg")</f>
        <v>0.0</v>
      </c>
      <c r="F916" s="2" t="inlineStr">
        <is>
          <t>5999084951849</t>
        </is>
      </c>
      <c r="G916" s="4" t="inlineStr">
        <is>
          <t xml:space="preserve"> • 3 x 1,5 mm² H05VV-F 
 • 5 méter 
 • narancs</t>
        </is>
      </c>
    </row>
    <row r="917">
      <c r="A917" s="6" t="inlineStr">
        <is>
          <t xml:space="preserve">   Villamosság / Kapcsolóóra</t>
        </is>
      </c>
      <c r="B917" s="6" t="inlineStr">
        <is>
          <t/>
        </is>
      </c>
      <c r="C917" s="6" t="inlineStr">
        <is>
          <t/>
        </is>
      </c>
      <c r="D917" s="6" t="inlineStr">
        <is>
          <t/>
        </is>
      </c>
      <c r="E917" s="6" t="inlineStr">
        <is>
          <t/>
        </is>
      </c>
      <c r="F917" s="6" t="inlineStr">
        <is>
          <t/>
        </is>
      </c>
      <c r="G917" s="6" t="inlineStr">
        <is>
          <t/>
        </is>
      </c>
    </row>
    <row r="918">
      <c r="A918" s="3" t="inlineStr">
        <is>
          <t>TG 24</t>
        </is>
      </c>
      <c r="B918" s="2" t="inlineStr">
        <is>
          <t>Home TG 24 mechanikus időzítő óra, max. 16 A / 3680 W, 24 óra programozhatóság, IP44, kültéri</t>
        </is>
      </c>
      <c r="C918" s="1" t="n">
        <v>3290.0</v>
      </c>
      <c r="D918" s="7" t="n">
        <f>HYPERLINK("https://www.somogyi.hu/product/home-tg-24-mechanikus-idozito-ora-max-16-a-3680-w-24-ora-programozhatosag-ip44-kulteri-tg-24-17984","https://www.somogyi.hu/product/home-tg-24-mechanikus-idozito-ora-max-16-a-3680-w-24-ora-programozhatosag-ip44-kulteri-tg-24-17984")</f>
        <v>0.0</v>
      </c>
      <c r="E918" s="7" t="n">
        <f>HYPERLINK("https://www.somogyi.hu/data/img/product_main_images/small/17984.jpg","https://www.somogyi.hu/data/img/product_main_images/small/17984.jpg")</f>
        <v>0.0</v>
      </c>
      <c r="F918" s="2" t="inlineStr">
        <is>
          <t>5999084960063</t>
        </is>
      </c>
      <c r="G918" s="4" t="inlineStr">
        <is>
          <t>Kíváncsi, hogyan teheti energiatakarékossá és kényelmessé otthonát? A Home TG 24 mechanikus időzítő óra tökéletes megoldás erre!
Ez az időzítő óra 24 órára programozható, így lehetővé teszi, hogy naponta ismétlődő kapcsolásokat állítson be 15 perces intervallumokban. Ez azt jelenti, hogy könnyedén beállíthatja a kívánt időpontokat, amikor például a lámpák, fűtőtestek vagy más elektromos eszközök be- és kikapcsolnak. A 250 V~/50Hz/max 16 (2)A/3680 (460)W teljesítménnyel az időzítő óra megbízhatóan működik különböző háztartási eszközökkel.
Az IP44-es védelem biztosítja, hogy az időzítő óra védett legyen a fröccsenő víztől, így biztonságosan használható akár nedves környezetben is. Az egyszerű, mechanikus kialakítás könnyen kezelhetővé teszi, így bárki könnyedén programozhatja a kívánt időpontokat.
Ne hagyja ki ezt a praktikus eszközt, amely nem csak kényelmet, hanem energiatakarékosságot is biztosít otthonában. Szerezze be a Home TG 24 mechanikus időzítő órát még ma, és élvezze a kényelmes, automatizált otthoni környezetet!</t>
        </is>
      </c>
    </row>
    <row r="919">
      <c r="A919" s="3" t="inlineStr">
        <is>
          <t>0760S</t>
        </is>
      </c>
      <c r="B919" s="2" t="inlineStr">
        <is>
          <t>GAO 0760S mechanikus beltéri időzítő óra, manuális bekapcsolási lehetőség, 30 perces intervallumok, naponta ismétlődő kapcsolások, 250 V, 3680 W</t>
        </is>
      </c>
      <c r="C919" s="1" t="n">
        <v>2090.0</v>
      </c>
      <c r="D919" s="7" t="n">
        <f>HYPERLINK("https://www.somogyi.hu/product/gao-0760s-mechanikus-belteri-idozito-ora-manualis-bekapcsolasi-lehetoseg-30-perces-intervallumok-naponta-ismetlodo-kapcsolasok-250-v-3680-w-0760s-14172","https://www.somogyi.hu/product/gao-0760s-mechanikus-belteri-idozito-ora-manualis-bekapcsolasi-lehetoseg-30-perces-intervallumok-naponta-ismetlodo-kapcsolasok-250-v-3680-w-0760s-14172")</f>
        <v>0.0</v>
      </c>
      <c r="E919" s="7" t="n">
        <f>HYPERLINK("https://www.somogyi.hu/data/img/product_main_images/small/14172.jpg","https://www.somogyi.hu/data/img/product_main_images/small/14172.jpg")</f>
        <v>0.0</v>
      </c>
      <c r="F919" s="2" t="inlineStr">
        <is>
          <t>5999084922207</t>
        </is>
      </c>
      <c r="G919" s="4" t="inlineStr">
        <is>
          <t>Szeretné egyszerűen automatizálni otthoni vagy irodai készülékeit? A GAO 0760S mechanikus beltéri időzítő óra tökéletes választás, hogy könnyedén vezérelhesse elektromos eszközei működését. 
Ez a praktikus időzítő óra 30 perces intervallumokkal programozható, így rugalmasan beállíthatja az eszközök ki- és bekapcsolási idejét, hogy azok mindig az Ön igényei szerint működjenek.
A manuális bekapcsolási lehetőség extra kényelmet biztosít, hiszen bármikor közvetlenül beavatkozhat a programozott működésbe. Az időzítő naponta ismétlődő kapcsolásokat tesz lehetővé, így ideális választás lehet lámpák, fűtőtestek, ventilátorok és egyéb elektromos berendezések automatizálására.
A termék névleges feszültsége 250 V∼, névleges áramerőssége 16 A, és kapcsolható névleges teljesítménye 3680 W, ami biztosítja a megbízható és biztonságos működést. Az egyszerűen használható mechanikus kialakítás garantálja a hosszú élettartamot és a problémamentes működést.
Válassza a GAO 0760S mechanikus beltéri időzítő órát, hogy otthona vagy irodája készülékeit könnyedén és hatékonyan automatizálhassa! Rendelje meg most, és élvezze a programozható automatizálás kényelmét minden nap!</t>
        </is>
      </c>
    </row>
    <row r="920">
      <c r="A920" s="3" t="inlineStr">
        <is>
          <t>0768H</t>
        </is>
      </c>
      <c r="B920" s="2" t="inlineStr">
        <is>
          <t>GAO 0768H mechanikus kültéri időzítő óra, 3500 W, 16A, IP44 védettség</t>
        </is>
      </c>
      <c r="C920" s="1" t="n">
        <v>2590.0</v>
      </c>
      <c r="D920" s="7" t="n">
        <f>HYPERLINK("https://www.somogyi.hu/product/gao-0768h-mechanikus-kulteri-idozito-ora-3500-w-16a-ip44-vedettseg-0768h-14618","https://www.somogyi.hu/product/gao-0768h-mechanikus-kulteri-idozito-ora-3500-w-16a-ip44-vedettseg-0768h-14618")</f>
        <v>0.0</v>
      </c>
      <c r="E920" s="7" t="n">
        <f>HYPERLINK("https://www.somogyi.hu/data/img/product_main_images/small/14618.jpg","https://www.somogyi.hu/data/img/product_main_images/small/14618.jpg")</f>
        <v>0.0</v>
      </c>
      <c r="F920" s="2" t="inlineStr">
        <is>
          <t>4004282407683</t>
        </is>
      </c>
      <c r="G920" s="4" t="inlineStr">
        <is>
          <t>Szeretné automatizálni kültéri készülékeit, hogy időt és energiát spóroljon? A GAO 0768H mechanikus kültéri időzítő óra ideális megoldás arra, hogy hatékonyan és kényelmesen vezérelje kerti lámpáit, szökőkútjait vagy egyéb kültéri elektromos eszközeit. 
Ez a strapabíró időzítő óra 250 V~ névleges feszültséggel és 3500 W kapcsolható névleges teljesítménnyel rendelkezik, így bármilyen nagyobb teljesítményű készülékhez használható.
A 30 perces felbontású napi kapcsolóóra lehetővé teszi, hogy pontosan beállítsa az eszközök ki- és bekapcsolási idejét. A megbízható mechanikus kialakítás és a manuális bekapcsolás hiánya biztosítja, hogy az időzítő mindig a beállítások szerint működjön, így Önnek nem kell aggódnia az esetleges kézi beavatkozások miatt.
Az IP44 védettségi fokozat garantálja, hogy az időzítő ellenáll a fröccsenő víznek és a por behatolásának, így tökéletesen alkalmas kültéri használatra. A beépített gyerekzár extra biztonságot nyújt, megakadályozva a véletlenszerű átkapcsolást vagy az illetéktelen hozzáférést.
Válassza a GAO 0768H mechanikus kültéri időzítő órát, hogy kültéri eszközei mindig a megfelelő időben működjenek! Rendelje meg most, és élvezze a programozható automatizálás kényelmét és megbízhatóságát minden nap!</t>
        </is>
      </c>
    </row>
    <row r="921">
      <c r="A921" s="3" t="inlineStr">
        <is>
          <t>TD 011</t>
        </is>
      </c>
      <c r="B921" s="2" t="inlineStr">
        <is>
          <t>Home TD 011 digitális beltéri időzítő óra, napi 10 program, 15 féle napkombinációban, heti ismétlés, beépített memóriavédelem, 250 V, 3680 W</t>
        </is>
      </c>
      <c r="C921" s="1" t="n">
        <v>5390.0</v>
      </c>
      <c r="D921" s="7" t="n">
        <f>HYPERLINK("https://www.somogyi.hu/product/home-td-011-digitalis-belteri-idozito-ora-napi-10-program-15-fele-napkombinacioban-heti-ismetles-beepitett-memoriavedelem-250-v-3680-w-td-011-16759","https://www.somogyi.hu/product/home-td-011-digitalis-belteri-idozito-ora-napi-10-program-15-fele-napkombinacioban-heti-ismetles-beepitett-memoriavedelem-250-v-3680-w-td-011-16759")</f>
        <v>0.0</v>
      </c>
      <c r="E921" s="7" t="n">
        <f>HYPERLINK("https://www.somogyi.hu/data/img/product_main_images/small/16759.jpg","https://www.somogyi.hu/data/img/product_main_images/small/16759.jpg")</f>
        <v>0.0</v>
      </c>
      <c r="F921" s="2" t="inlineStr">
        <is>
          <t>5999084947910</t>
        </is>
      </c>
      <c r="G921" s="4" t="inlineStr">
        <is>
          <t>A TD 011 Digitális beltéri heti időzítő órán napi 10 programot és 15 féle nap- kombinációt tud beállítani heti ismétléssel. A minimum beállítható időintervallum 1 perc. Praktikus megoldás lehet olyan termékek be- ki kapcsolásához, melyeket ugyan abban az időben szeretne üzemeltetni, így a készülék ezt megteszi Ön helyett. 
A beltéri heti időzítő óra maximum 3680 W-ig terhelhető.</t>
        </is>
      </c>
    </row>
    <row r="922">
      <c r="A922" s="3" t="inlineStr">
        <is>
          <t>0743H</t>
        </is>
      </c>
      <c r="B922" s="2" t="inlineStr">
        <is>
          <t>GAO 0743H digitális beltéri időzítő óra, 3680 W, 98 ki- és bekapcsolás / hét, véletlenszerű kapcsolás</t>
        </is>
      </c>
      <c r="C922" s="1" t="n">
        <v>5390.0</v>
      </c>
      <c r="D922" s="7" t="n">
        <f>HYPERLINK("https://www.somogyi.hu/product/gao-0743h-digitalis-belteri-idozito-ora-3680-w-98-ki-es-bekapcsolas-het-veletlenszeru-kapcsolas-0743h-13814","https://www.somogyi.hu/product/gao-0743h-digitalis-belteri-idozito-ora-3680-w-98-ki-es-bekapcsolas-het-veletlenszeru-kapcsolas-0743h-13814")</f>
        <v>0.0</v>
      </c>
      <c r="E922" s="7" t="n">
        <f>HYPERLINK("https://www.somogyi.hu/data/img/product_main_images/small/13814.jpg","https://www.somogyi.hu/data/img/product_main_images/small/13814.jpg")</f>
        <v>0.0</v>
      </c>
      <c r="F922" s="2" t="inlineStr">
        <is>
          <t>4004282407430</t>
        </is>
      </c>
      <c r="G922" s="4" t="inlineStr">
        <is>
          <t>Szeretné egyszerűen és pontosan vezérelni otthoni vagy irodai készülékeit? A GAO 0743H digitális beltéri időzítő óra ideális megoldás, hogy automatizálja és optimalizálja az elektromos eszközök működését. 
Ez a praktikus időzítő óra 230 V~ névleges feszültséggel és 3680 W kapcsolható névleges teljesítménnyel rendelkezik, így számos készülékhez használható, beleértve a világítást, fűtést és egyéb elektromos eszközöket. Az időzítő 1 perces felbontású heti kapcsolóórával rendelkezik, amely lehetővé teszi akár 98 ki- és bekapcsolási program beállítását egy hétre. Ezáltal teljesen testre szabhatja az eszközök működési idejét, maximális energiamegtakarítást és kényelmet biztosítva. A manuális bekapcsolási lehetőség további rugalmasságot nyújt, hogy bármikor beavatkozhasson a programozott működésbe. A beépített akkumulátor biztosítja, hogy az időzítő óra áramszünet esetén is megőrizze a beállításokat, így Önnek nem kell újra programoznia az eszközt. Az IP20 védettségi fokozatú időzítő biztonságos beltéri használatra készült, és olyan extra funkciókkal rendelkezik, mint a véletlenszerű kapcsolás és a visszaszámlálás, melyek tovább növelik a készülék sokoldalúságát.
Válassza a GAO 0743H digitális beltéri időzítő órát, hogy otthona vagy irodája elektromos eszközeit egyszerűen és hatékonyan vezérelhesse! Rendelje meg most, és élvezze a programozható automatizálás kényelmét és energiahatékonyságát!</t>
        </is>
      </c>
    </row>
    <row r="923">
      <c r="A923" s="3" t="inlineStr">
        <is>
          <t>TG 3</t>
        </is>
      </c>
      <c r="B923" s="2" t="inlineStr">
        <is>
          <t>Home TG 3 mechanikus beltéri időzítő óra, 24 órára programozható, naponta ismétlődő kapcsolások, 250 V, 3680 W</t>
        </is>
      </c>
      <c r="C923" s="1" t="n">
        <v>2490.0</v>
      </c>
      <c r="D923" s="7" t="n">
        <f>HYPERLINK("https://www.somogyi.hu/product/home-tg-3-mechanikus-belteri-idozito-ora-24-orara-programozhato-naponta-ismetlodo-kapcsolasok-250-v-3680-w-tg-3-3268","https://www.somogyi.hu/product/home-tg-3-mechanikus-belteri-idozito-ora-24-orara-programozhato-naponta-ismetlodo-kapcsolasok-250-v-3680-w-tg-3-3268")</f>
        <v>0.0</v>
      </c>
      <c r="E923" s="7" t="n">
        <f>HYPERLINK("https://www.somogyi.hu/data/img/product_main_images/small/03268.jpg","https://www.somogyi.hu/data/img/product_main_images/small/03268.jpg")</f>
        <v>0.0</v>
      </c>
      <c r="F923" s="2" t="inlineStr">
        <is>
          <t>5998312735923</t>
        </is>
      </c>
      <c r="G923" s="4" t="inlineStr">
        <is>
          <t>Tegye komfortosabbá a mindennapjait és vásároljon egy precíz kialakítású kapcsolóórát. A TG 3 manuálisan bekapcsolható kapcsolóóra, amelyet 15 perces időintervallumokban lehet beállítani. A készülék 24 órára programozható be, valamint naponta ismétlődő kapcsolásokra alkalmas. Előnye, továbbá, hogy LED visszajelzővel rendelkezik. Felhasználhatósága: 250 V~ / 16 A / 3500 W. Válassz a minőségi termékeket és rendeljen webáruházunkból!</t>
        </is>
      </c>
    </row>
    <row r="924">
      <c r="A924" s="6" t="inlineStr">
        <is>
          <t xml:space="preserve">   Villamosság / Fogyasztásmérő</t>
        </is>
      </c>
      <c r="B924" s="6" t="inlineStr">
        <is>
          <t/>
        </is>
      </c>
      <c r="C924" s="6" t="inlineStr">
        <is>
          <t/>
        </is>
      </c>
      <c r="D924" s="6" t="inlineStr">
        <is>
          <t/>
        </is>
      </c>
      <c r="E924" s="6" t="inlineStr">
        <is>
          <t/>
        </is>
      </c>
      <c r="F924" s="6" t="inlineStr">
        <is>
          <t/>
        </is>
      </c>
      <c r="G924" s="6" t="inlineStr">
        <is>
          <t/>
        </is>
      </c>
    </row>
    <row r="925">
      <c r="A925" s="3" t="inlineStr">
        <is>
          <t>EM 04</t>
        </is>
      </c>
      <c r="B925" s="2" t="inlineStr">
        <is>
          <t>Home EM 04 fogyasztásmérő, fogyasztás és költség ellenőrzése, teljesítmény, feszültség, áramerősség, fogyasztás, költségek kijelzése, 250 V, 3680 W</t>
        </is>
      </c>
      <c r="C925" s="1" t="n">
        <v>5690.0</v>
      </c>
      <c r="D925" s="7" t="n">
        <f>HYPERLINK("https://www.somogyi.hu/product/home-em-04-fogyasztasmero-fogyasztas-es-koltseg-ellenorzese-teljesitmeny-feszultseg-aramerosseg-fogyasztas-koltsegek-kijelzese-250-v-3680-w-em-04-16760","https://www.somogyi.hu/product/home-em-04-fogyasztasmero-fogyasztas-es-koltseg-ellenorzese-teljesitmeny-feszultseg-aramerosseg-fogyasztas-koltsegek-kijelzese-250-v-3680-w-em-04-16760")</f>
        <v>0.0</v>
      </c>
      <c r="E925" s="7" t="n">
        <f>HYPERLINK("https://www.somogyi.hu/data/img/product_main_images/small/16760.jpg","https://www.somogyi.hu/data/img/product_main_images/small/16760.jpg")</f>
        <v>0.0</v>
      </c>
      <c r="F925" s="2" t="inlineStr">
        <is>
          <t>5999084947927</t>
        </is>
      </c>
      <c r="G925" s="4" t="inlineStr">
        <is>
          <t>Az EM 04 Fogyasztásmérő segítségével folyamatosan ellenőrizheti áram fogyasztását és annak kötségeit, melyet a termék képernyőjéről olvashat le. Kijelzi a maximum illetve a minimum fogyasztást. Minden adatot memóriába tárol. Ha túlterheli a készüléket, az rögtön figyelmeztet. Széles tartományú méréshatár és pontosság jellemzi. A kijelző mutatja a teljesítményt, feszültséget, áramerősséget, frekvenciát, fogyasztást és a költséget.</t>
        </is>
      </c>
    </row>
    <row r="926">
      <c r="A926" s="6" t="inlineStr">
        <is>
          <t xml:space="preserve">   Villamosság / Villanykapcsoló, csatlakozóaljzat</t>
        </is>
      </c>
      <c r="B926" s="6" t="inlineStr">
        <is>
          <t/>
        </is>
      </c>
      <c r="C926" s="6" t="inlineStr">
        <is>
          <t/>
        </is>
      </c>
      <c r="D926" s="6" t="inlineStr">
        <is>
          <t/>
        </is>
      </c>
      <c r="E926" s="6" t="inlineStr">
        <is>
          <t/>
        </is>
      </c>
      <c r="F926" s="6" t="inlineStr">
        <is>
          <t/>
        </is>
      </c>
      <c r="G926" s="6" t="inlineStr">
        <is>
          <t/>
        </is>
      </c>
    </row>
    <row r="927">
      <c r="A927" s="3" t="inlineStr">
        <is>
          <t>0323H</t>
        </is>
      </c>
      <c r="B927" s="2" t="inlineStr">
        <is>
          <t>GAO 0323H Business Line IP20 nyomókapcsoló, beltéri, 230 V~ / 50 Hz / 10 A, fehér</t>
        </is>
      </c>
      <c r="C927" s="1" t="n">
        <v>929.0</v>
      </c>
      <c r="D927" s="7" t="n">
        <f>HYPERLINK("https://www.somogyi.hu/product/gao-0323h-business-line-ip20-nyomokapcsolo-belteri-230-v-50-hz-10-a-feher-0323h-9945","https://www.somogyi.hu/product/gao-0323h-business-line-ip20-nyomokapcsolo-belteri-230-v-50-hz-10-a-feher-0323h-9945")</f>
        <v>0.0</v>
      </c>
      <c r="E927" s="7" t="n">
        <f>HYPERLINK("https://www.somogyi.hu/data/img/product_main_images/small/09945.jpg","https://www.somogyi.hu/data/img/product_main_images/small/09945.jpg")</f>
        <v>0.0</v>
      </c>
      <c r="F927" s="2" t="inlineStr">
        <is>
          <t>4004282403234</t>
        </is>
      </c>
      <c r="G927" s="4" t="inlineStr">
        <is>
          <t>Szeretne megbízható és egyszerűen kezelhető nyomókapcsolót otthonába vagy irodájába? A GAO 0323H Business Line IP20 nyomókapcsoló tökéletes választás, hogy könnyedén vezérelhesse elektromos berendezéseit. 
Ez a termék a Business Line család része, amely garantálja a magas minőséget és a megbízhatóságot. Az IP20 védettségi fokozat biztosítja, hogy a kapcsoló védett legyen a közepes méretű szilárd tárgyak ellen, így ideális beltéri használatra. Ez a falon kívüli kivitelű nyomókapcsoló egyszerűen telepíthető, nem igényel süllyesztést, így gyorsan üzembe helyezhető. Bár földelést nem igényel, a névleges feszültsége 230 V~ / 50 Hz, névleges áramerőssége pedig 10 A, ami biztosítja a megbízható teljesítményt. A nyomókapcsoló praktikus és egyszerű használatot kínál, tökéletes választás lehet világítási rendszerek, csengők vagy egyéb elektromos berendezések vezérléséhez. Az ergonomikus kialakításnak köszönhetően könnyedén kezelhető, és hosszú távon is kényelmes használatot biztosít.
Válassza a GAO 0323H Business Line IP20 nyomókapcsolót, hogy otthona vagy irodája elektromos berendezéseit egyszerűen és biztonságosan vezérelhesse! Rendelje meg most, és élvezze a könnyű kezelhetőség és megbízhatóság előnyeit!</t>
        </is>
      </c>
    </row>
    <row r="928">
      <c r="A928" s="3" t="inlineStr">
        <is>
          <t>9872H</t>
        </is>
      </c>
      <c r="B928" s="2" t="inlineStr">
        <is>
          <t>AQUATOP 9872H falon kívüli dugalj, 2 db aljzat, 16 A, IP54, szürke</t>
        </is>
      </c>
      <c r="C928" s="1" t="n">
        <v>1890.0</v>
      </c>
      <c r="D928" s="7" t="n">
        <f>HYPERLINK("https://www.somogyi.hu/product/aquatop-9872h-falon-kivuli-dugalj-2-db-aljzat-16-a-ip54-szurke-9872h-18467","https://www.somogyi.hu/product/aquatop-9872h-falon-kivuli-dugalj-2-db-aljzat-16-a-ip54-szurke-9872h-18467")</f>
        <v>0.0</v>
      </c>
      <c r="E928" s="7" t="n">
        <f>HYPERLINK("https://www.somogyi.hu/data/img/product_main_images/small/18467.jpg","https://www.somogyi.hu/data/img/product_main_images/small/18467.jpg")</f>
        <v>0.0</v>
      </c>
      <c r="F928" s="2" t="inlineStr">
        <is>
          <t>4004282498728</t>
        </is>
      </c>
      <c r="G928" s="4" t="inlineStr">
        <is>
          <t>Szüksége van egy megbízható, kültéri használatra alkalmas dugaljra? Az AQUATOP 9872H falon kívüli dupla dugalj kiváló választás azok számára, akik strapabíró és időjárásálló megoldást keresnek otthonuk külső tereibe. Ez a készülék két 16 A névleges áramfelvételt bíró aljzattal rendelkezik, amely kiválóan alkalmas a kertben, teraszon vagy műhelyben található elektromos eszközök csatlakoztatására.
Az IP54 védettségi szint biztosítja, hogy az aljzat ellenálljon a por és a fröccsenő víz behatásának, így bátran használható bármilyen kültéri környezetben. A szürke szín és a kompakt méretű, 92 x 127,5 x 55 mm design gondoskodik róla, hogy az AQUATOP 9872H esztétikailag is illeszkedjen a környezetbe, miközben diszkréten végzi a feladatát.
Telepítése egyszerű, így Ön gyorsan élvezheti annak előnyeit, hogy kültéri elektromos készülékeit biztonságosan, a kényelme és igényei szerint tudja használni. Az AQUATOP 9872H falon kívüli dugalj a tökéletes választás, ha tartós és biztonságos kültéri elektromos megoldást keres.</t>
        </is>
      </c>
    </row>
    <row r="929">
      <c r="A929" s="3" t="inlineStr">
        <is>
          <t>0316H</t>
        </is>
      </c>
      <c r="B929" s="2" t="inlineStr">
        <is>
          <t>GAO 0316H Business Line IP20 váltókapcsoló, beltéri, 230 V~ / 50 Hz / 10 A, fehér</t>
        </is>
      </c>
      <c r="C929" s="1" t="n">
        <v>1150.0</v>
      </c>
      <c r="D929" s="7" t="n">
        <f>HYPERLINK("https://www.somogyi.hu/product/gao-0316h-business-line-ip20-valtokapcsolo-belteri-230-v-50-hz-10-a-feher-0316h-9944","https://www.somogyi.hu/product/gao-0316h-business-line-ip20-valtokapcsolo-belteri-230-v-50-hz-10-a-feher-0316h-9944")</f>
        <v>0.0</v>
      </c>
      <c r="E929" s="7" t="n">
        <f>HYPERLINK("https://www.somogyi.hu/data/img/product_main_images/small/09944.jpg","https://www.somogyi.hu/data/img/product_main_images/small/09944.jpg")</f>
        <v>0.0</v>
      </c>
      <c r="F929" s="2" t="inlineStr">
        <is>
          <t>4004282403166</t>
        </is>
      </c>
      <c r="G929" s="4" t="inlineStr">
        <is>
          <t>Szeretné egyszerűen és hatékonyan irányítani otthona világítását több helyről is? A GAO 0316H Business Line IP20 váltókapcsoló ideális választás, hogy kényelmesen vezérelhesse világítását akár két különböző helyről is. 
Ez a termék a Business Line család része, amely garantálja a magas minőséget és megbízhatóságot. Az IP20 védettségi fokozat biztosítja, hogy a váltókapcsoló védett legyen a közepes méretű szilárd tárgyakkal szemben, így tökéletesen alkalmas beltéri használatra. A falon kívüli kivitelű kapcsoló egyszerűen telepíthető anélkül, hogy süllyesztésre lenne szükség, így gyorsan és könnyedén üzembe helyezhető. Bár földelést nem igényel, a névleges feszültsége 230 V~ / 50 Hz, névleges áramerőssége pedig 10 A, ami biztosítja a megbízható teljesítményt a világítási rendszerekben.
A váltókapcsoló lehetővé teszi, hogy egy lámpát két különböző kapcsolóval vezéreljen, ami különösen praktikus lépcsőházakban, hosszú folyosókon vagy nagyobb helyiségekben. Az egyszerű és praktikus kialakítás garantálja a könnyű használatot és a megbízhatóságot.
Válassza a GAO 0316H Business Line IP20 váltókapcsolót, hogy otthona világítása mindig kézben tartható legyen! Rendelje meg most, és élvezze a kényelmes és biztonságos világításvezérlés előnyeit minden nap!</t>
        </is>
      </c>
    </row>
    <row r="930">
      <c r="A930" s="3" t="inlineStr">
        <is>
          <t>22041</t>
        </is>
      </c>
      <c r="B930" s="2" t="inlineStr">
        <is>
          <t>GAO 22041 váltókapcsoló, kültéri IP44 kivitel, 230 V~ / 50 Hz / 10 A, fehér</t>
        </is>
      </c>
      <c r="C930" s="1" t="n">
        <v>2190.0</v>
      </c>
      <c r="D930" s="7" t="n">
        <f>HYPERLINK("https://www.somogyi.hu/product/gao-22041-valtokapcsolo-kulteri-ip44-kivitel-230-v-50-hz-10-a-feher-22041-15313","https://www.somogyi.hu/product/gao-22041-valtokapcsolo-kulteri-ip44-kivitel-230-v-50-hz-10-a-feher-22041-15313")</f>
        <v>0.0</v>
      </c>
      <c r="E930" s="7" t="n">
        <f>HYPERLINK("https://www.somogyi.hu/data/img/product_main_images/small/15313.jpg","https://www.somogyi.hu/data/img/product_main_images/small/15313.jpg")</f>
        <v>0.0</v>
      </c>
      <c r="F930" s="2" t="inlineStr">
        <is>
          <t>4008297220411</t>
        </is>
      </c>
      <c r="G930" s="4" t="inlineStr">
        <is>
          <t>Szeretné egyszerűen és biztonságosan vezérelni kültéri világítását? A GAO 22041 váltókapcsoló az Aquastar család részeként ideális választás kültéri világítási rendszerekhez, biztosítva a kényelmes és biztonságos vezérlést. 
Ez a falon kívüli váltókapcsoló IP44 védettségi fokozattal rendelkezik, ami garantálja a védelmet a fröccsenő víz és por ellen, így tökéletesen alkalmas kültéri használatra.
A kapcsoló 230 V~ / 50 Hz névleges feszültségen működik, és 10 A névleges áramerősséggel bír, ami megbízható teljesítményt nyújt a mindennapi használat során. A fehér szín elegáns megjelenést biztosít, amely könnyedén illeszkedik bármilyen környezetbe.
Válassza a GAO 22041 váltókapcsolót az Aquastar családból, hogy kültéri világítása mindig könnyen vezérelhető és megbízható legyen! Rendelje meg most, és élvezze a praktikus és biztonságos világításvezérlés előnyeit!</t>
        </is>
      </c>
    </row>
    <row r="931">
      <c r="A931" s="3" t="inlineStr">
        <is>
          <t>0315H</t>
        </is>
      </c>
      <c r="B931" s="2" t="inlineStr">
        <is>
          <t>GAO 0315H Business Line IP20 csillárkapcsoló, beltéri, 230 V~ / 50 Hz / 10 A, fehér</t>
        </is>
      </c>
      <c r="C931" s="1" t="n">
        <v>1050.0</v>
      </c>
      <c r="D931" s="7" t="n">
        <f>HYPERLINK("https://www.somogyi.hu/product/gao-0315h-business-line-ip20-csillarkapcsolo-belteri-230-v-50-hz-10-a-feher-0315h-9942","https://www.somogyi.hu/product/gao-0315h-business-line-ip20-csillarkapcsolo-belteri-230-v-50-hz-10-a-feher-0315h-9942")</f>
        <v>0.0</v>
      </c>
      <c r="E931" s="7" t="n">
        <f>HYPERLINK("https://www.somogyi.hu/data/img/product_main_images/small/09942.jpg","https://www.somogyi.hu/data/img/product_main_images/small/09942.jpg")</f>
        <v>0.0</v>
      </c>
      <c r="F931" s="2" t="inlineStr">
        <is>
          <t>4004282403159</t>
        </is>
      </c>
      <c r="G931" s="4" t="inlineStr">
        <is>
          <t>Szeretné egyszerűen és biztonságosan irányítani otthona világítását? A GAO 0315H Business Line IP20 csillárkapcsoló tökéletes választás, hogy könnyedén vezérelhesse csillárját vagy más világítótestét. 
Ez a kapcsoló a Business Line család része, amely magas minőséget és megbízhatóságot képvisel. Az IP20 védettségi fokozat garantálja, hogy a termék védett a közepes méretű szilárd tárgyak ellen, így ideális beltéri használatra. A falon kívüli kivitel lehetővé teszi a gyors és egyszerű telepítést anélkül, hogy süllyesztésre lenne szükség. A kapcsoló földelés nélküli, de a névleges feszültsége 230 V~ / 50 Hz, névleges áramerőssége pedig 10 A, ami biztosítja az optimális teljesítményt a legtöbb világítási igényhez.
A csillárkapcsoló funkcióval könnyedén irányíthatja a csillár vagy más világítótestek működését. Az egyszerű és praktikus kialakítás helytakarékos megoldást kínál, miközben megbízható működést biztosít.
Válassza a GAO 0315H Business Line IP20 csillárkapcsolót, hogy otthona világítása mindig kézben tartható legyen! Rendelje meg most, és élvezze a kényelmes és biztonságos világításvezérlés előnyeit minden nap!</t>
        </is>
      </c>
    </row>
    <row r="932">
      <c r="A932" s="3" t="inlineStr">
        <is>
          <t>0311H</t>
        </is>
      </c>
      <c r="B932" s="2" t="inlineStr">
        <is>
          <t>GAO 0311H Business Line IP20 2 férőhelyes földelt aljzat, 2 férőhelyes földelt csatlakozóaljzat, beltéri, 230 V~ / 50 Hz / 16 A, fehér</t>
        </is>
      </c>
      <c r="C932" s="1" t="n">
        <v>1590.0</v>
      </c>
      <c r="D932" s="7" t="n">
        <f>HYPERLINK("https://www.somogyi.hu/product/gao-0311h-business-line-ip20-2-ferohelyes-foldelt-aljzat-2-ferohelyes-foldelt-csatlakozoaljzat-belteri-230-v-50-hz-16-a-feher-0311h-9938","https://www.somogyi.hu/product/gao-0311h-business-line-ip20-2-ferohelyes-foldelt-aljzat-2-ferohelyes-foldelt-csatlakozoaljzat-belteri-230-v-50-hz-16-a-feher-0311h-9938")</f>
        <v>0.0</v>
      </c>
      <c r="E932" s="7" t="n">
        <f>HYPERLINK("https://www.somogyi.hu/data/img/product_main_images/small/09938.jpg","https://www.somogyi.hu/data/img/product_main_images/small/09938.jpg")</f>
        <v>0.0</v>
      </c>
      <c r="F932" s="2" t="inlineStr">
        <is>
          <t>4004282403111</t>
        </is>
      </c>
      <c r="G932" s="4" t="inlineStr">
        <is>
          <t>Szüksége van egy praktikus és megbízható aljzatra, amely több eszköz csatlakoztatását is lehetővé teszi? A GAO 0311H Business Line 2 férőhelyes földelt aljzat ideális megoldás otthoni és irodai használatra egyaránt. 
Ez a termék a Business Line család része, amely magas minőséget és megbízhatóságot garantál. Az IP20 védettségi fokozatú aljzat védelmet nyújt a közepes méretű szilárd tárgyak ellen, így biztonságosan használható beltéri környezetben.
Ez a falon kívüli kivitelű aljzat könnyen telepíthető, és nem igényel süllyesztést, így gyorsan üzembe helyezhető. A földelt aljzat névleges feszültsége 230 V~ / 50 Hz, névleges áramerőssége pedig 16 A, ami biztosítja az optimális teljesítményt és biztonságot. A két férőhelyes kialakítás lehetővé teszi, hogy egyszerre több készüléket csatlakoztasson, így helytakarékos és praktikus megoldást kínál.
Válassza a GAO 0311H Business Line 2 férőhelyes földelt aljzatot, hogy otthona vagy irodája biztonságosan és hatékonyan működjön! Rendelje meg most, és élvezze a megbízható és kényelmes elektromos csatlakozás előnyeit!</t>
        </is>
      </c>
    </row>
    <row r="933">
      <c r="A933" s="3" t="inlineStr">
        <is>
          <t>22131</t>
        </is>
      </c>
      <c r="B933" s="2" t="inlineStr">
        <is>
          <t>GAO 22131 3 férőhelyes földelt aljzat, kültéri IP44 kivitel, 230 V~ / 50 Hz / 16 A, fehér-füst</t>
        </is>
      </c>
      <c r="C933" s="1" t="n">
        <v>5390.0</v>
      </c>
      <c r="D933" s="7" t="n">
        <f>HYPERLINK("https://www.somogyi.hu/product/gao-22131-3-ferohelyes-foldelt-aljzat-kulteri-ip44-kivitel-230-v-50-hz-16-a-feher-fust-22131-15309","https://www.somogyi.hu/product/gao-22131-3-ferohelyes-foldelt-aljzat-kulteri-ip44-kivitel-230-v-50-hz-16-a-feher-fust-22131-15309")</f>
        <v>0.0</v>
      </c>
      <c r="E933" s="7" t="n">
        <f>HYPERLINK("https://www.somogyi.hu/data/img/product_main_images/small/15309.jpg","https://www.somogyi.hu/data/img/product_main_images/small/15309.jpg")</f>
        <v>0.0</v>
      </c>
      <c r="F933" s="2" t="inlineStr">
        <is>
          <t>4008297221319</t>
        </is>
      </c>
      <c r="G933" s="4" t="inlineStr">
        <is>
          <t>Szeretne egyszerre több kültéri eszközt biztonságosan használni, még kedvezőtlen időjárási körülmények között is? A GAO 22131 3 férőhelyes földelt aljzat az Aquastar családból kiváló választás, ha több elektromos készülék egyidejű csatlakoztatására van szüksége a szabadban. 
Ez a falon kívüli aljzat IP44 védettségi fokozattal rendelkezik, amely garantálja a védelmet a fröccsenő víz és por ellen, így tökéletesen alkalmas kültéri használatra. A földelt aljzat 230 V~ / 50 Hz névleges feszültséggel és 16 A névleges áramerősséggel működik, biztosítva a megbízható és biztonságos energiaellátást. A három darabos aljzat kialakítása lehetővé teszi, hogy egyszerre több készüléket is csatlakoztathasson, így ideális választás a kerti világításhoz, szerszámokhoz vagy egyéb kültéri berendezésekhez.
Válassza a GAO 22131 3 férőhelyes földelt aljzatot az Aquastar családból, hogy kültéri eszközei mindig biztonságosan és megbízhatóan működjenek! Rendelje meg most, és élvezze a praktikus és tartós csatlakozási megoldást minden nap!</t>
        </is>
      </c>
    </row>
    <row r="934">
      <c r="A934" s="3" t="inlineStr">
        <is>
          <t>9873H</t>
        </is>
      </c>
      <c r="B934" s="2" t="inlineStr">
        <is>
          <t>AQUATOP 9873H falon kívüli váltókapcsoló és dugalj, 1 billenő, 1 aljzat, vízszintes, 10 A/16 A, IP54, szürke</t>
        </is>
      </c>
      <c r="C934" s="1" t="n">
        <v>2890.0</v>
      </c>
      <c r="D934" s="7" t="n">
        <f>HYPERLINK("https://www.somogyi.hu/product/aquatop-9873h-falon-kivuli-valtokapcsolo-es-dugalj-1-billeno-1-aljzat-vizszintes-10-a-16-a-ip54-szurke-9873h-18468","https://www.somogyi.hu/product/aquatop-9873h-falon-kivuli-valtokapcsolo-es-dugalj-1-billeno-1-aljzat-vizszintes-10-a-16-a-ip54-szurke-9873h-18468")</f>
        <v>0.0</v>
      </c>
      <c r="E934" s="7" t="n">
        <f>HYPERLINK("https://www.somogyi.hu/data/img/product_main_images/small/18468.jpg","https://www.somogyi.hu/data/img/product_main_images/small/18468.jpg")</f>
        <v>0.0</v>
      </c>
      <c r="F934" s="2" t="inlineStr">
        <is>
          <t>4004282498735</t>
        </is>
      </c>
      <c r="G934" s="4" t="inlineStr">
        <is>
          <t>Szüksége van egy kültéri, mindenféle időjárásnak ellenálló váltókapcsolóra és dugaljra? Az AQUATOP 9873H a tökéletes megoldás otthona külső területeire. Ez a készülék egy praktikus kombinációt kínál: egy billenőkapcsolót és egy csatlakozóaljzatot, amelyek vízszintes elrendezésben helyezkednek el, és ideálisak különböző kültéri elektromos szükségletekhez.
A termék IP54 védettségi szinttel rendelkezik, ellenáll a por, valamint a minden irányból érkező fröccsenő víz ellen, biztosítva a kültéri használat során a biztonságot és a megbízhatóságot. A váltókapcsoló és az aljzat 10A, vagy 16A névleges áramellátást nyújt, ami megfelel a legtöbb otthoni elektromos készülék igényeinek.
Elegáns szürke színe és kompakt méretei (92 x 127,5 x 55 mm) lehetővé teszik, hogy diszkréten illeszkedjen bármely külső tér dizájnjához, miközben praktikus funkciókat biztosít. Falon kívüli kialakítása miatt egyszerűen telepíthető bármely kívánt helyen, ahol szükség van elektromos áramra.
Ne hagyja, hogy a kültéri elektromos igények korlátozzák terveit! Az AQUATOP 9873H váltókapcsoló és dugalj kombinációjával Ön könnyedén hozzáadhat elektromos hozzáférést kertjéhez, teraszához vagy bármely külső területhez, növelve ezzel otthona kényelmét és funkcionalitását.</t>
        </is>
      </c>
    </row>
    <row r="935">
      <c r="A935" s="3" t="inlineStr">
        <is>
          <t>0310H</t>
        </is>
      </c>
      <c r="B935" s="2" t="inlineStr">
        <is>
          <t>GAO 0310H Business Line IP20 földelt aljzat, 1 férőhelyes földelt csatlakozóaljzat, beltéri,  230V~/50Hz/16A, fehér</t>
        </is>
      </c>
      <c r="C935" s="1" t="n">
        <v>899.0</v>
      </c>
      <c r="D935" s="7" t="n">
        <f>HYPERLINK("https://www.somogyi.hu/product/gao-0310h-business-line-ip20-foldelt-aljzat-1-ferohelyes-foldelt-csatlakozoaljzat-belteri-230v-50hz-16a-feher-0310h-9937","https://www.somogyi.hu/product/gao-0310h-business-line-ip20-foldelt-aljzat-1-ferohelyes-foldelt-csatlakozoaljzat-belteri-230v-50hz-16a-feher-0310h-9937")</f>
        <v>0.0</v>
      </c>
      <c r="E935" s="7" t="n">
        <f>HYPERLINK("https://www.somogyi.hu/data/img/product_main_images/small/09937.jpg","https://www.somogyi.hu/data/img/product_main_images/small/09937.jpg")</f>
        <v>0.0</v>
      </c>
      <c r="F935" s="2" t="inlineStr">
        <is>
          <t>4004282403104</t>
        </is>
      </c>
      <c r="G935" s="4" t="inlineStr">
        <is>
          <t>Szüksége van egy megbízható és biztonságos földelt aljzatra otthonában vagy irodájában? A GAO 0310H Business Line IP20 földelt aljzat ideális választás minden olyan helyiségbe, ahol megbízható és biztonságos elektromos csatlakozóra van szükség. 
Ez a földelt aljzat a Business Line család része, mely magas minőséget és megbízhatóságot képvisel. Az IP20 védettségi fokozat garantálja, hogy a termék védett a közepes méretű szilárd tárgyakkal szemben, így biztonságosan használható beltéri környezetben.
Ez a fehér színű, falon kívüli aljzat egyszerűen felszerelhető anélkül, hogy süllyesztésre lenne szükség, így gyorsan és könnyedén használatba vehető. A földelt aljzat névleges feszültsége 230 V~ / 50 Hz, névleges áramerőssége pedig 16 A, ami biztosítja az optimális teljesítményt és biztonságot. Az egy darabos aljzat kialakítása helytakarékos megoldást kínál, miközben teljes körű védelmet nyújt a csatlakoztatott készülékeknek.
Válassza a GAO 0310H Business Line IP20 földelt aljzatot, hogy otthona vagy irodája biztonságosan és megbízhatóan működjön! Rendelje meg most, és élvezze a minőségi elektromos csatlakozás előnyeit!</t>
        </is>
      </c>
    </row>
    <row r="936">
      <c r="A936" s="3" t="inlineStr">
        <is>
          <t>0510056777</t>
        </is>
      </c>
      <c r="B936" s="2" t="inlineStr">
        <is>
          <t>GAO 0510056777 Business Line IP20, 1 férőhelyes földelt csatlakozóaljzat, beltéri, 230 V~ /50 Hz / 16 A, barna</t>
        </is>
      </c>
      <c r="C936" s="1" t="n">
        <v>919.0</v>
      </c>
      <c r="D936" s="7" t="n">
        <f>HYPERLINK("https://www.somogyi.hu/product/gao-0510056777-business-line-ip20-1-ferohelyes-foldelt-csatlakozoaljzat-belteri-230-v-50-hz-16-a-barna-0510056777-17849","https://www.somogyi.hu/product/gao-0510056777-business-line-ip20-1-ferohelyes-foldelt-csatlakozoaljzat-belteri-230-v-50-hz-16-a-barna-0510056777-17849")</f>
        <v>0.0</v>
      </c>
      <c r="E936" s="7" t="n">
        <f>HYPERLINK("https://www.somogyi.hu/data/img/product_main_images/small/17849.jpg","https://www.somogyi.hu/data/img/product_main_images/small/17849.jpg")</f>
        <v>0.0</v>
      </c>
      <c r="F936" s="2" t="inlineStr">
        <is>
          <t>4008297100560</t>
        </is>
      </c>
      <c r="G936" s="4" t="inlineStr">
        <is>
          <t>Egy megbízható és biztonságos földelt csatlakozóaljzatot keres otthonába vagy irodájába? A GAO 0510056777 Business Line IP20, 1 férőhelyes földelt csatlakozóaljzat ideális választás, hogy biztonságosan és hatékonyan csatlakoztassa elektromos készülékeit. 
Ez az aljzat a Business Line család része, amely garantálja a magas minőséget és megbízhatóságot. Az IP20 védettségi fokozat biztosítja a védelmet a közepes méretű szilárd tárgyakkal szemben, így tökéletesen alkalmas beltéri használatra. A falon kívüli aljzat egyszerűen telepíthető, és nem igényel süllyesztést, így gyorsan üzembe helyezhető bármilyen beltéri környezetben. A barna színű, földelt aljzat névleges feszültsége 230 V~ / 50 Hz, névleges áramerőssége pedig 16 A, ami biztosítja a megbízható teljesítményt és a biztonságos csatlakoztatást.
Az egy férőhelyes kialakítás helytakarékos megoldást kínál, miközben teljes körű védelmet nyújt a csatlakoztatott készülékek számára. Ez az aljzat ideális választás otthoni és irodai használatra, hogy biztosítsa az elektromos eszközök biztonságos működését.
Válassza a GAO 0510056777 Business Line IP20 földelt csatlakozóaljzatot, hogy otthona vagy irodája biztonságosan és megbízhatóan működjön! Rendelje meg most, és élvezze a minőségi elektromos csatlakozás előnyeit!</t>
        </is>
      </c>
    </row>
    <row r="937">
      <c r="A937" s="3" t="inlineStr">
        <is>
          <t>NV 1K/BK</t>
        </is>
      </c>
      <c r="B937" s="2" t="inlineStr">
        <is>
          <t>Home NV 1K/BK zsinórközi 1 pólusú kapcsoló, beltéri használatra, H03VVH2-F, 2X0,75 mm2 kábellel szerelhető, max. 4A, fekete</t>
        </is>
      </c>
      <c r="C937" s="1" t="n">
        <v>549.0</v>
      </c>
      <c r="D937" s="7" t="n">
        <f>HYPERLINK("https://www.somogyi.hu/product/home-nv-1k-bk-zsinorkozi-1-polusu-kapcsolo-belteri-hasznalatra-h03vvh2-f-2x0-75-mm2-kabellel-szerelheto-max-4a-fekete-nv-1k-bk-15706","https://www.somogyi.hu/product/home-nv-1k-bk-zsinorkozi-1-polusu-kapcsolo-belteri-hasznalatra-h03vvh2-f-2x0-75-mm2-kabellel-szerelheto-max-4a-fekete-nv-1k-bk-15706")</f>
        <v>0.0</v>
      </c>
      <c r="E937" s="7" t="n">
        <f>HYPERLINK("https://www.somogyi.hu/data/img/product_main_images/small/15706.jpg","https://www.somogyi.hu/data/img/product_main_images/small/15706.jpg")</f>
        <v>0.0</v>
      </c>
      <c r="F937" s="2" t="inlineStr">
        <is>
          <t>5999084937409</t>
        </is>
      </c>
      <c r="G937" s="4" t="inlineStr">
        <is>
          <t>Az NV 1K/BK Zsinórközi 1 pólusú kapcsoló lámpatestekhez alkalmazható, melynek bekötését csak szakember végezheti. A fekete zsinórközi kapcsoló beltéri használatra alkalmas. H03VVH2-F, 2X0,75 mm2 kábellel szerelhető. 
A kapcsolóhoz a kábel nem tartozék.</t>
        </is>
      </c>
    </row>
    <row r="938">
      <c r="A938" s="3" t="inlineStr">
        <is>
          <t>NVK SWITCH</t>
        </is>
      </c>
      <c r="B938" s="2" t="inlineStr">
        <is>
          <t>Home NVK SWITCH vezeték és elem nélküli lámpakapcsoló, 230 V~ / 3000 W / 13 A, kinetikus energia, 100 m hatótáv, rezisztív terhelés kapcsolására</t>
        </is>
      </c>
      <c r="C938" s="1" t="n">
        <v>6890.0</v>
      </c>
      <c r="D938" s="7" t="n">
        <f>HYPERLINK("https://www.somogyi.hu/product/home-nvk-switch-vezetek-es-elem-nelkuli-lampakapcsolo-230-v-3000-w-13-a-kinetikus-energia-100-m-hatotav-rezisztiv-terheles-kapcsolasara-nvk-switch-17257","https://www.somogyi.hu/product/home-nvk-switch-vezetek-es-elem-nelkuli-lampakapcsolo-230-v-3000-w-13-a-kinetikus-energia-100-m-hatotav-rezisztiv-terheles-kapcsolasara-nvk-switch-17257")</f>
        <v>0.0</v>
      </c>
      <c r="E938" s="7" t="n">
        <f>HYPERLINK("https://www.somogyi.hu/data/img/product_main_images/small/17257.jpg","https://www.somogyi.hu/data/img/product_main_images/small/17257.jpg")</f>
        <v>0.0</v>
      </c>
      <c r="F938" s="2" t="inlineStr">
        <is>
          <t>5999084952792</t>
        </is>
      </c>
      <c r="G938" s="4" t="inlineStr">
        <is>
          <t>Egy megbízható, modern kapcsolórendszert keres, amely az év minden napján, még hideg időben is tökéletesen működik? A Home NVK SWITCH az ideális megoldás!
Ez a rendkívül praktikus kapcsolómodul 230V~ / 3.000W / 13A teljesítményre képes, és különösen alkalmas rezisztív terhelések, például lámpák kapcsolására. Kisméretű és könnyen beépíthető, így tökéletesen illeszkedik otthonába vagy irodájába. A modulon található be- és kikapcsoló, valamint a LED visszajelzők biztosítják, hogy mindig tisztában legyen a rendszer állapotával.
A Home NVK SWITCH egyedi kódolású tanuló funkcióval rendelkezik, így akár 8 különböző nyomógombbal is párosítható. A rendszer memóriája áramszünet esetén is megőrzi a beállításokat, így Önnek nem kell aggódnia az adatvesztés miatt. A nyomógombok víznek fokozottan ellenállóak, így kültéren is használhatóak. A hatótávolság nyílt terepen akár 120 méter is lehet, a működési frekvencia pedig 433,92MHz.
A nyomógomb kinetikus energiával működik, így soha nem lesz szükség elem cseréjére, a kapcsoló modul pedig 230V~50Hz / 0,3Wmax. tápellátással rendelkezik. A nyomógomb és a modul méretei (50x82x22mm / 28x55x19mm) lehetővé teszik a diszkrét elhelyezést.
Fontos megjegyezni, hogy a Home NVK SWITCH nem alkalmas védőérintkezős berendezések működtetésére. Tegyen a kényelemért és a modern technológiaért, válassza a Home NVK SWITCH rendszert!</t>
        </is>
      </c>
    </row>
    <row r="939">
      <c r="A939" s="3" t="inlineStr">
        <is>
          <t>0510076777</t>
        </is>
      </c>
      <c r="B939" s="2" t="inlineStr">
        <is>
          <t>GAO 0510076777 Business Line IP20, 2 férőhelyes földelt csatlakozóaljzat, beltéri, 230 V~ /50 Hz / 16 A, barna</t>
        </is>
      </c>
      <c r="C939" s="1" t="n">
        <v>1590.0</v>
      </c>
      <c r="D939" s="7" t="n">
        <f>HYPERLINK("https://www.somogyi.hu/product/gao-0510076777-business-line-ip20-2-ferohelyes-foldelt-csatlakozoaljzat-belteri-230-v-50-hz-16-a-barna-0510076777-17850","https://www.somogyi.hu/product/gao-0510076777-business-line-ip20-2-ferohelyes-foldelt-csatlakozoaljzat-belteri-230-v-50-hz-16-a-barna-0510076777-17850")</f>
        <v>0.0</v>
      </c>
      <c r="E939" s="7" t="n">
        <f>HYPERLINK("https://www.somogyi.hu/data/img/product_main_images/small/17850.jpg","https://www.somogyi.hu/data/img/product_main_images/small/17850.jpg")</f>
        <v>0.0</v>
      </c>
      <c r="F939" s="2" t="inlineStr">
        <is>
          <t>4008297100768</t>
        </is>
      </c>
      <c r="G939" s="4" t="inlineStr">
        <is>
          <t>Egy megbízható és biztonságos földelt csatlakozóaljzatot keres otthonába vagy irodájába? A GAO 0510076777 Business Line IP20, 2 férőhelyes földelt csatlakozóaljzat ideális választás, hogy biztonságosan és hatékonyan csatlakoztassa elektromos készülékeit. 
Ez az aljzat a Business Line család része, amely garantálja a magas minőséget és megbízhatóságot. Az IP20 védettségi fokozat biztosítja a védelmet a közepes méretű szilárd tárgyakkal szemben, így tökéletesen alkalmas beltéri használatra. A falon kívüli aljzat egyszerűen telepíthető, és nem igényel süllyesztést, így gyorsan üzembe helyezhető bármilyen beltéri környezetben. A barna színű, földelt aljzat névleges feszültsége 230 V~ / 50 Hz, névleges áramerőssége pedig 16 A, ami biztosítja a megbízható teljesítményt és a biztonságos csatlakoztatást.
A két férőhelyes kialakítás helytakarékos megoldást kínál, miközben teljes körű védelmet nyújt a csatlakoztatott készülékek számára. Ez az aljzat ideális választás otthoni és irodai használatra, hogy biztosítsa az elektromos eszközök biztonságos működését.
Válassza a GAO 0510076777 Business Line IP20 földelt csatlakozóaljzatot, hogy otthona vagy irodája biztonságosan és megbízhatóan működjön! Rendelje meg most, és élvezze a minőségi elektromos csatlakozás előnyeit!</t>
        </is>
      </c>
    </row>
    <row r="940">
      <c r="A940" s="3" t="inlineStr">
        <is>
          <t>0511466777</t>
        </is>
      </c>
      <c r="B940" s="2" t="inlineStr">
        <is>
          <t>GAO 0511466777 Business Line IP20 csillárkapcsoló, beltéri, 230 V~ /50 Hz / 10 A, barna</t>
        </is>
      </c>
      <c r="C940" s="1" t="n">
        <v>1150.0</v>
      </c>
      <c r="D940" s="7" t="n">
        <f>HYPERLINK("https://www.somogyi.hu/product/gao-0511466777-business-line-ip20-csillarkapcsolo-belteri-230-v-50-hz-10-a-barna-0511466777-17852","https://www.somogyi.hu/product/gao-0511466777-business-line-ip20-csillarkapcsolo-belteri-230-v-50-hz-10-a-barna-0511466777-17852")</f>
        <v>0.0</v>
      </c>
      <c r="E940" s="7" t="n">
        <f>HYPERLINK("https://www.somogyi.hu/data/img/product_main_images/small/17852.jpg","https://www.somogyi.hu/data/img/product_main_images/small/17852.jpg")</f>
        <v>0.0</v>
      </c>
      <c r="F940" s="2" t="inlineStr">
        <is>
          <t>4008297114666</t>
        </is>
      </c>
      <c r="G940" s="4" t="inlineStr">
        <is>
          <t>Szeretné egyszerűen és stílusosan vezérelni csillárját otthonában vagy irodájában? A GAO 0511466777 Business Line IP20 csillárkapcsoló tökéletes választás mindazok számára, akik megbízható és esztétikus megoldást keresnek világításuk vezérléséhez. 
Ez a csillárkapcsoló a Business Line család része, amely garantálja a kiváló minőséget és a tartósságot. Az IP20 védettségi fokozat biztosítja, hogy a kapcsoló védett legyen a közepes méretű szilárd tárgyakkal szemben, így ideális beltéri használatra. A falon kívüli kivitel lehetővé teszi a gyors és egyszerű telepítést, anélkül, hogy süllyesztésre lenne szükség. A barna színű kapcsoló elegáns megjelenést kölcsönöz bármilyen helyiségnek, könnyen illeszkedik különféle belső terekbe. A csillárkapcsoló névleges feszültsége 230 V~ / 50 Hz, névleges áramerőssége pedig 10 A, így biztosítja az optimális teljesítményt és a megbízható működést.
Válassza a GAO 0511466777 Business Line IP20 csillárkapcsolót, hogy otthona vagy irodája világítását egyszerűen és stílusosan vezérelhesse! Rendelje meg most, és élvezze a praktikus és esztétikus világításvezérlés előnyeit!</t>
        </is>
      </c>
    </row>
    <row r="941">
      <c r="A941" s="3" t="inlineStr">
        <is>
          <t>0510089777</t>
        </is>
      </c>
      <c r="B941" s="2" t="inlineStr">
        <is>
          <t>GAO 0510089777 Business Line IP20 3 férőhelyes földelt csatlakozóaljzat, beltéri, 230 V~ /50 Hz / 16 A, barna</t>
        </is>
      </c>
      <c r="C941" s="1" t="n">
        <v>2190.0</v>
      </c>
      <c r="D941" s="7" t="n">
        <f>HYPERLINK("https://www.somogyi.hu/product/gao-0510089777-business-line-ip20-3-ferohelyes-foldelt-csatlakozoaljzat-belteri-230-v-50-hz-16-a-barna-0510089777-17851","https://www.somogyi.hu/product/gao-0510089777-business-line-ip20-3-ferohelyes-foldelt-csatlakozoaljzat-belteri-230-v-50-hz-16-a-barna-0510089777-17851")</f>
        <v>0.0</v>
      </c>
      <c r="E941" s="7" t="n">
        <f>HYPERLINK("https://www.somogyi.hu/data/img/product_main_images/small/17851.jpg","https://www.somogyi.hu/data/img/product_main_images/small/17851.jpg")</f>
        <v>0.0</v>
      </c>
      <c r="F941" s="2" t="inlineStr">
        <is>
          <t>4008297100898</t>
        </is>
      </c>
      <c r="G941" s="4" t="inlineStr">
        <is>
          <t>Egy megbízható és biztonságos földelt csatlakozóaljzatot keres otthonába vagy irodájába? A GAO 0510089777 Business Line IP20, 3 férőhelyes földelt csatlakozóaljzat ideális választás, hogy biztonságosan és hatékonyan csatlakoztassa elektromos készülékeit. 
Ez az aljzat a Business Line család része, amely garantálja a magas minőséget és megbízhatóságot. Az IP20 védettségi fokozat biztosítja a védelmet a közepes méretű szilárd tárgyakkal szemben, így tökéletesen alkalmas beltéri használatra. A falon kívüli aljzat egyszerűen telepíthető, és nem igényel süllyesztést, így gyorsan üzembe helyezhető bármilyen beltéri környezetben. A barna színű, földelt aljzat névleges feszültsége 230 V~ / 50 Hz, névleges áramerőssége pedig 16 A, ami biztosítja a megbízható teljesítményt és a biztonságos csatlakoztatást.
A három férőhelyes kialakítás helytakarékos megoldást kínál, miközben teljes körű védelmet nyújt a csatlakoztatott készülékek számára. Ez az aljzat ideális választás otthoni és irodai használatra, hogy biztosítsa az elektromos eszközök biztonságos működését.
Válassza a GAO 0510089777 Business Line IP20 földelt csatlakozóaljzatot, hogy otthona vagy irodája biztonságosan és megbízhatóan működjön! Rendelje meg most, és élvezze a minőségi elektromos csatlakozás előnyeit!</t>
        </is>
      </c>
    </row>
    <row r="942">
      <c r="A942" s="3" t="inlineStr">
        <is>
          <t>0314H</t>
        </is>
      </c>
      <c r="B942" s="2" t="inlineStr">
        <is>
          <t>GAO 0314H Business Line IP20 földelt aljzat és váltókapcsoló, csatlakozóaljzat és váltókapcsoló kombináció, beltéri, 230 V~ / 50 Hz / 16/10 A, fehér</t>
        </is>
      </c>
      <c r="C942" s="1" t="n">
        <v>2090.0</v>
      </c>
      <c r="D942" s="7" t="n">
        <f>HYPERLINK("https://www.somogyi.hu/product/gao-0314h-business-line-ip20-foldelt-aljzat-es-valtokapcsolo-csatlakozoaljzat-es-valtokapcsolo-kombinacio-belteri-230-v-50-hz-16-10-a-feher-0314h-9941","https://www.somogyi.hu/product/gao-0314h-business-line-ip20-foldelt-aljzat-es-valtokapcsolo-csatlakozoaljzat-es-valtokapcsolo-kombinacio-belteri-230-v-50-hz-16-10-a-feher-0314h-9941")</f>
        <v>0.0</v>
      </c>
      <c r="E942" s="7" t="n">
        <f>HYPERLINK("https://www.somogyi.hu/data/img/product_main_images/small/09941.jpg","https://www.somogyi.hu/data/img/product_main_images/small/09941.jpg")</f>
        <v>0.0</v>
      </c>
      <c r="F942" s="2" t="inlineStr">
        <is>
          <t>4004282403142</t>
        </is>
      </c>
      <c r="G942" s="4" t="inlineStr">
        <is>
          <t>Szeretne egy praktikus és megbízható megoldást, amely egyesíti a földelt aljzat és a váltókapcsoló előnyeit? A GAO 0314H Business Line IP20 földelt aljzat és váltókapcsoló ideális választás otthoni és irodai használatra, ahol a biztonság és a funkcionalitás kulcsfontosságú. 
Ez a termék a Business Line család része, amely garantálja a magas minőséget és megbízhatóságot. Az IP20 védettségi fokozat biztosítja, hogy az aljzat védett a közepes méretű szilárd tárgyakkal szemben, így tökéletesen alkalmas beltéri használatra. A falon kívüli kivitel lehetővé teszi a gyors és egyszerű telepítést anélkül, hogy süllyesztésre lenne szükség. Az aljzat földelt, ami biztosítja a biztonságos csatlakoztatást és a készülékek védelmét. A névleges feszültség 230 V~ / 50 Hz, míg a névleges áramerősség 16 A (aljzat) és 10 A (váltókapcsoló), így optimális teljesítményt nyújt minden helyzetben. A váltókapcsolóval ellátott kialakítás lehetővé teszi a világítás vagy más elektromos eszközök kényelmes és hatékony vezérlését. Az egy darabos aljzat helytakarékos megoldást kínál, miközben a váltókapcsolóval kombinálva növeli a funkcionalitást.
Válassza a GAO 0314H Business Line IP20 földelt aljzatot és váltókapcsolót, hogy otthona vagy irodája biztonságos és praktikus elektromos csatlakozást biztosítson! Rendelje meg most, és élvezze a multifunkcionális használat előnyeit minden nap!</t>
        </is>
      </c>
    </row>
    <row r="943">
      <c r="A943" s="3" t="inlineStr">
        <is>
          <t>NV 1K/WH</t>
        </is>
      </c>
      <c r="B943" s="2" t="inlineStr">
        <is>
          <t>Home NV 1K/WH zsinórközi 1 pólusú kapcsoló, beltéri használatra, H03VVH2-F, 2X0,75 mm2 kábellel szerelhető, max. 4A, fehér</t>
        </is>
      </c>
      <c r="C943" s="1" t="n">
        <v>549.0</v>
      </c>
      <c r="D943" s="7" t="n">
        <f>HYPERLINK("https://www.somogyi.hu/product/home-nv-1k-wh-zsinorkozi-1-polusu-kapcsolo-belteri-hasznalatra-h03vvh2-f-2x0-75-mm2-kabellel-szerelheto-max-4a-feher-nv-1k-wh-15705","https://www.somogyi.hu/product/home-nv-1k-wh-zsinorkozi-1-polusu-kapcsolo-belteri-hasznalatra-h03vvh2-f-2x0-75-mm2-kabellel-szerelheto-max-4a-feher-nv-1k-wh-15705")</f>
        <v>0.0</v>
      </c>
      <c r="E943" s="7" t="n">
        <f>HYPERLINK("https://www.somogyi.hu/data/img/product_main_images/small/15705.jpg","https://www.somogyi.hu/data/img/product_main_images/small/15705.jpg")</f>
        <v>0.0</v>
      </c>
      <c r="F943" s="2" t="inlineStr">
        <is>
          <t>5999084937393</t>
        </is>
      </c>
      <c r="G943" s="4" t="inlineStr">
        <is>
          <t>Az NV 1K/WH Zsinórközi 1 pólusú kapcsoló lámpatestekhez alkalmazható, melynek bekötését csak szakember végezheti. A fehér zsinórközi kapcsoló beltéri használatra alkalmas. H03VVH2-F, 2X0,75 mm2 kábellel szerelhető. 
A kapcsolóhoz a kábel nem tartozék.</t>
        </is>
      </c>
    </row>
    <row r="944">
      <c r="A944" s="3" t="inlineStr">
        <is>
          <t>0313H</t>
        </is>
      </c>
      <c r="B944" s="2" t="inlineStr">
        <is>
          <t>GAO 0313H Business Line IP20 4 férőhelyes földelt aljzat, 4 férőhelyes földelt csatlakozóaljzat, beltéri, 230 V~ / 50 Hz / 16 A, fehér</t>
        </is>
      </c>
      <c r="C944" s="1" t="n">
        <v>2890.0</v>
      </c>
      <c r="D944" s="7" t="n">
        <f>HYPERLINK("https://www.somogyi.hu/product/gao-0313h-business-line-ip20-4-ferohelyes-foldelt-aljzat-4-ferohelyes-foldelt-csatlakozoaljzat-belteri-230-v-50-hz-16-a-feher-0313h-9940","https://www.somogyi.hu/product/gao-0313h-business-line-ip20-4-ferohelyes-foldelt-aljzat-4-ferohelyes-foldelt-csatlakozoaljzat-belteri-230-v-50-hz-16-a-feher-0313h-9940")</f>
        <v>0.0</v>
      </c>
      <c r="E944" s="7" t="n">
        <f>HYPERLINK("https://www.somogyi.hu/data/img/product_main_images/small/09940.jpg","https://www.somogyi.hu/data/img/product_main_images/small/09940.jpg")</f>
        <v>0.0</v>
      </c>
      <c r="F944" s="2" t="inlineStr">
        <is>
          <t>4004282403135</t>
        </is>
      </c>
      <c r="G944" s="4" t="inlineStr">
        <is>
          <t>Szüksége van egy praktikus és megbízható aljzatra, amely több eszköz csatlakoztatását is lehetővé teszi? A GAO 0313H Business Line 4 férőhelyes földelt aljzat ideális megoldás otthoni és irodai használatra egyaránt. 
Ez a termék a Business Line család része, amely magas minőséget és megbízhatóságot garantál. Az IP20 védettségi fokozatú aljzat védelmet nyújt a közepes méretű szilárd tárgyak ellen, így biztonságosan használható beltéri környezetben.
Ez a falon kívüli kivitelű aljzat könnyen telepíthető, és nem igényel süllyesztést, így gyorsan üzembe helyezhető. A földelt aljzat névleges feszültsége 230 V~ / 50 Hz, névleges áramerőssége pedig 16 A, ami biztosítja az optimális teljesítményt és biztonságot. A négy férőhelyes kialakítás lehetővé teszi, hogy egyszerre több készüléket csatlakoztasson, így helytakarékos és praktikus megoldást kínál.
Válassza a GAO 0313H Business Line 4 férőhelyes földelt aljzatot, hogy otthona vagy irodája biztonságosan és hatékonyan működjön! Rendelje meg most, és élvezze a megbízható és kényelmes elektromos csatlakozás előnyeit!</t>
        </is>
      </c>
    </row>
    <row r="945">
      <c r="A945" s="3" t="inlineStr">
        <is>
          <t>22061</t>
        </is>
      </c>
      <c r="B945" s="2" t="inlineStr">
        <is>
          <t>GAO 22061 nyomókapcsoló csengő jellel, kültéri IP44 kivitel, 230 V~ / 50 Hz / 10 A, fehér</t>
        </is>
      </c>
      <c r="C945" s="1" t="n">
        <v>2090.0</v>
      </c>
      <c r="D945" s="7" t="n">
        <f>HYPERLINK("https://www.somogyi.hu/product/gao-22061-nyomokapcsolo-csengo-jellel-kulteri-ip44-kivitel-230-v-50-hz-10-a-feher-22061-15317","https://www.somogyi.hu/product/gao-22061-nyomokapcsolo-csengo-jellel-kulteri-ip44-kivitel-230-v-50-hz-10-a-feher-22061-15317")</f>
        <v>0.0</v>
      </c>
      <c r="E945" s="7" t="n">
        <f>HYPERLINK("https://www.somogyi.hu/data/img/product_main_images/small/15317.jpg","https://www.somogyi.hu/data/img/product_main_images/small/15317.jpg")</f>
        <v>0.0</v>
      </c>
      <c r="F945" s="2" t="inlineStr">
        <is>
          <t>4008297220619</t>
        </is>
      </c>
      <c r="G945" s="4" t="inlineStr">
        <is>
          <t>Szeretné, ha otthona vagy irodája csengője megbízhatóan működne minden időjárási körülmény között? A GAO 22061 nyomókapcsoló csengő jellel az Aquastar családból tökéletes választás, hogy biztosítsa a kültéri csengő megbízható és biztonságos működését. 
Ez a falon kívüli nyomókapcsoló IP44 védettségi fokozattal rendelkezik, ami garantálja a védelmet a fröccsenő víz és por ellen, így ideális kültéri használatra.
A kapcsoló 230 V~ / 50 Hz névleges feszültséggel és 16 A névleges áramerősséggel működik, biztosítva a stabil és hatékony teljesítményt. A fehér szín elegáns megjelenést biztosít, amely könnyedén illeszkedik bármilyen külső falra vagy bejárati területre.
Válassza a GAO 22061 nyomókapcsolót csengő jellel az Aquastar családból, hogy kültéri csengője mindig megbízhatóan működjön! Rendelje meg most, és élvezze a praktikus és esztétikus megoldást minden nap!</t>
        </is>
      </c>
    </row>
    <row r="946">
      <c r="A946" s="3" t="inlineStr">
        <is>
          <t>9876H</t>
        </is>
      </c>
      <c r="B946" s="2" t="inlineStr">
        <is>
          <t>AQUATOP 9876H falon kívüli váltókapcsoló, 1 billenő, 10 A, IP54, szürke, jelzőfénnyel</t>
        </is>
      </c>
      <c r="C946" s="1" t="n">
        <v>1590.0</v>
      </c>
      <c r="D946" s="7" t="n">
        <f>HYPERLINK("https://www.somogyi.hu/product/aquatop-9876h-falon-kivuli-valtokapcsolo-1-billeno-10-a-ip54-szurke-jelzofennyel-9876h-18470","https://www.somogyi.hu/product/aquatop-9876h-falon-kivuli-valtokapcsolo-1-billeno-10-a-ip54-szurke-jelzofennyel-9876h-18470")</f>
        <v>0.0</v>
      </c>
      <c r="E946" s="7" t="n">
        <f>HYPERLINK("https://www.somogyi.hu/data/img/product_main_images/small/18470.jpg","https://www.somogyi.hu/data/img/product_main_images/small/18470.jpg")</f>
        <v>0.0</v>
      </c>
      <c r="F946" s="2" t="inlineStr">
        <is>
          <t>4004282498766</t>
        </is>
      </c>
      <c r="G946" s="4" t="inlineStr">
        <is>
          <t>Egy megbízható kapcsolót keres, amely bírja az időjárás viszontagságait és kültéren használható? Az AQUATOP 9876H falon kívüli váltókapcsolóval nem kell tovább keresgélnie. Ez a robusztus kapcsoló billenővel és irányfénnyel is rendelkezik, ideális sötét helyiségekben való telepítésre.
IP54 besorolásának köszönhetően az AQUATOP 9876H ellenáll a por és fröccsenő víz behatolásának, így bármilyen kültéri környezetben biztonságosan használható. 10 A névleges áramerőssége biztosítja, hogy sokféle kültéri világítási igényeit ki tud elégíteni.
Szürke színével és kompakt méreteivel (92 x 65 x 55 mm) diszkréten illeszkedik a külső területek kialakításához, anélkül, hogy felborítaná azok esztétikáját. A falon kívüli kivitel gyors és egyszerű telepítést tesz lehetővé, így Ön hamar élvezheti a kényelmet és a megnövelt biztonságot, amit ez a váltókapcsoló nyújt.
Bővítse ki kültéri világítási rendszerét az AQUATOP 9876H falon kívüli váltókapcsolóval, mely nemcsak praktikus, de időjárásálló megoldást is kínál világítási igényeihez.</t>
        </is>
      </c>
    </row>
    <row r="947">
      <c r="A947" s="3" t="inlineStr">
        <is>
          <t>9877H</t>
        </is>
      </c>
      <c r="B947" s="2" t="inlineStr">
        <is>
          <t>AQUATOP 9877H falon kívüli nyomókapcsoló, 1 billenő, 10 A, IP54, szürke, jelzőfény</t>
        </is>
      </c>
      <c r="C947" s="1" t="n">
        <v>1750.0</v>
      </c>
      <c r="D947" s="7" t="n">
        <f>HYPERLINK("https://www.somogyi.hu/product/aquatop-9877h-falon-kivuli-nyomokapcsolo-1-billeno-10-a-ip54-szurke-jelzofeny-9877h-18471","https://www.somogyi.hu/product/aquatop-9877h-falon-kivuli-nyomokapcsolo-1-billeno-10-a-ip54-szurke-jelzofeny-9877h-18471")</f>
        <v>0.0</v>
      </c>
      <c r="E947" s="7" t="n">
        <f>HYPERLINK("https://www.somogyi.hu/data/img/product_main_images/small/18471.jpg","https://www.somogyi.hu/data/img/product_main_images/small/18471.jpg")</f>
        <v>0.0</v>
      </c>
      <c r="F947" s="2" t="inlineStr">
        <is>
          <t>4004282498773</t>
        </is>
      </c>
      <c r="G947" s="4" t="inlineStr">
        <is>
          <t>Egy megbízható kapcsolót keres, amely bírja az időjárás viszontagságait és kültéren használható? Az AQUATOP 9877H falon kívüli nyomókapcsolóval nem kell tovább keresgélnie. Ez a robusztus kapcsoló billenővel és irányfénnyel is rendelkezik, ideális sötét helyiségekben való telepítésre.
IP54 besorolásának köszönhetően az AQUATOP 9877H ellenáll a por és fröccsenő víz behatolásának, így bármilyen kültéri környezetben biztonságosan használható. 10 A-t is képes kapcsolni, így sokféle kültéri világítási igényeit ki tud elégíteni.
Szürke színével és kompakt méreteivel (92 x 65 x 55 mm) diszkréten illeszkedik a külső területek kialakításához, anélkül, hogy felborítaná azok esztétikáját. A falon kívüli kivitel gyors és egyszerű telepítést tesz lehetővé, így Ön hamar élvezheti a kényelmet és a megnövelt biztonságot, amit ez a nyomókapcsoló nyújt.
Bővítse ki kültéri világítási rendszerét az AQUATOP 9877H falon kívüli nyomókapcsolóval, mely nemcsak praktikus, de időjárásálló megoldást is kínál világítási igényeihez.</t>
        </is>
      </c>
    </row>
    <row r="948">
      <c r="A948" s="3" t="inlineStr">
        <is>
          <t>0312H</t>
        </is>
      </c>
      <c r="B948" s="2" t="inlineStr">
        <is>
          <t>GAO 0312H Business Line IP20 3 férőhelyes földelt aljzat, 3 férőhelyes földelt csatlakozóaljzat, beltéri, 230 V~ / 50 Hz / 16 A, fehér</t>
        </is>
      </c>
      <c r="C948" s="1" t="n">
        <v>2090.0</v>
      </c>
      <c r="D948" s="7" t="n">
        <f>HYPERLINK("https://www.somogyi.hu/product/gao-0312h-business-line-ip20-3-ferohelyes-foldelt-aljzat-3-ferohelyes-foldelt-csatlakozoaljzat-belteri-230-v-50-hz-16-a-feher-0312h-9939","https://www.somogyi.hu/product/gao-0312h-business-line-ip20-3-ferohelyes-foldelt-aljzat-3-ferohelyes-foldelt-csatlakozoaljzat-belteri-230-v-50-hz-16-a-feher-0312h-9939")</f>
        <v>0.0</v>
      </c>
      <c r="E948" s="7" t="n">
        <f>HYPERLINK("https://www.somogyi.hu/data/img/product_main_images/small/09939.jpg","https://www.somogyi.hu/data/img/product_main_images/small/09939.jpg")</f>
        <v>0.0</v>
      </c>
      <c r="F948" s="2" t="inlineStr">
        <is>
          <t>4004282403128</t>
        </is>
      </c>
      <c r="G948" s="4" t="inlineStr">
        <is>
          <t>Szüksége van egy praktikus és megbízható aljzatra, amely több eszköz csatlakoztatását is lehetővé teszi? A GAO 0312H Business Line 3 férőhelyes földelt aljzat ideális megoldás otthoni és irodai használatra egyaránt. 
Ez a termék a Business Line család része, amely magas minőséget és megbízhatóságot garantál. Az IP20 védettségi fokozatú aljzat védelmet nyújt a közepes méretű szilárd tárgyak ellen, így biztonságosan használható beltéri környezetben.
Ez a falon kívüli kivitelű aljzat könnyen telepíthető, és nem igényel süllyesztést, így gyorsan üzembe helyezhető. A földelt aljzat névleges feszültsége 230 V~ / 50 Hz, névleges áramerőssége pedig 16 A, ami biztosítja az optimális teljesítményt és biztonságot. A három férőhelyes kialakítás lehetővé teszi, hogy egyszerre több készüléket csatlakoztasson, így helytakarékos és praktikus megoldást kínál.
Válassza a GAO 0312H Business Line 3 férőhelyes földelt aljzatot, hogy otthona vagy irodája biztonságosan és hatékonyan működjön! Rendelje meg most, és élvezze a megbízható és kényelmes elektromos csatlakozás előnyeit!</t>
        </is>
      </c>
    </row>
    <row r="949">
      <c r="A949" s="3" t="inlineStr">
        <is>
          <t>9871H</t>
        </is>
      </c>
      <c r="B949" s="2" t="inlineStr">
        <is>
          <t>AQUATOP 9871H falon kívüli dugalj, 1 db aljzat, 16 A, IP54, szürke</t>
        </is>
      </c>
      <c r="C949" s="1" t="n">
        <v>1090.0</v>
      </c>
      <c r="D949" s="7" t="n">
        <f>HYPERLINK("https://www.somogyi.hu/product/aquatop-9871h-falon-kivuli-dugalj-1-db-aljzat-16-a-ip54-szurke-9871h-18466","https://www.somogyi.hu/product/aquatop-9871h-falon-kivuli-dugalj-1-db-aljzat-16-a-ip54-szurke-9871h-18466")</f>
        <v>0.0</v>
      </c>
      <c r="E949" s="7" t="n">
        <f>HYPERLINK("https://www.somogyi.hu/data/img/product_main_images/small/18466.jpg","https://www.somogyi.hu/data/img/product_main_images/small/18466.jpg")</f>
        <v>0.0</v>
      </c>
      <c r="F949" s="2" t="inlineStr">
        <is>
          <t>4004282498711</t>
        </is>
      </c>
      <c r="G949" s="4" t="inlineStr">
        <is>
          <t>Szüksége van egy megbízható, kültéri használatra alkalmas dugaljra? Az AQUATOP 9871H falon kívüli dugalj kiváló választás azok számára, akik strapabíró és időjárásálló megoldást keresnek otthonuk külső tereibe. Ez a készülék egy 16 A névleges áramfelvételt bíró aljzattal rendelkezik, amely kiválóan alkalmas a kertben, teraszon vagy műhelyben található elektromos eszközök csatlakoztatására.
Az IP54 védettségi szint biztosítja, hogy az aljzat ellenálljon a por és a fröccsenő víz behatásának, így bátran használható bármilyen kültéri környezetben. A szürke szín és a kompakt méretű, 92 x 65 x 55 mm design gondoskodik róla, hogy az AQUATOP 9871H esztétikailag is illeszkedjen a környezetbe, miközben diszkréten végzi a feladatát.
Telepítése egyszerű, így Ön gyorsan élvezheti annak előnyeit, hogy kültéri elektromos készülékeit biztonságosan, a kényelme és igényei szerint tudja használni. Az AQUATOP 9871H falon kívüli dugalj a tökéletes választás, ha tartós és biztonságos kültéri elektromos megoldást keres.</t>
        </is>
      </c>
    </row>
    <row r="950">
      <c r="A950" s="3" t="inlineStr">
        <is>
          <t>22111</t>
        </is>
      </c>
      <c r="B950" s="2" t="inlineStr">
        <is>
          <t>GAO 22111 földelt aljzat, kültéri IP44 kivitel, 230 V~ / 50 Hz / 16 A, fehér-füst</t>
        </is>
      </c>
      <c r="C950" s="1" t="n">
        <v>2390.0</v>
      </c>
      <c r="D950" s="7" t="n">
        <f>HYPERLINK("https://www.somogyi.hu/product/gao-22111-foldelt-aljzat-kulteri-ip44-kivitel-230-v-50-hz-16-a-feher-fust-22111-15307","https://www.somogyi.hu/product/gao-22111-foldelt-aljzat-kulteri-ip44-kivitel-230-v-50-hz-16-a-feher-fust-22111-15307")</f>
        <v>0.0</v>
      </c>
      <c r="E950" s="7" t="n">
        <f>HYPERLINK("https://www.somogyi.hu/data/img/product_main_images/small/15307.jpg","https://www.somogyi.hu/data/img/product_main_images/small/15307.jpg")</f>
        <v>0.0</v>
      </c>
      <c r="F950" s="2" t="inlineStr">
        <is>
          <t>4008297221111</t>
        </is>
      </c>
      <c r="G950" s="4" t="inlineStr">
        <is>
          <t>Szüksége van egy biztonságos és időjárásálló aljzatra kültéri használatra? A GAO 22111 földelt aljzat az Aquastar családból ideális választás, ha megbízható és tartós csatlakozási megoldást keres kültéri eszközei számára. 
Ez a falon kívüli aljzat IP44 védettségi fokozattal rendelkezik, amely biztosítja a védelmet a fröccsenő víz és por ellen, így tökéletesen alkalmas kültéri használatra.
A földelt aljzat 230 V~ / 50 Hz névleges feszültséggel és 16 A névleges áramerősséggel működik, garantálva a biztonságos és hatékony energiaellátást. Az egy darabos aljzat kialakítása helytakarékos és könnyen telepíthető, így ideális választás a kerti világításhoz, szerszámokhoz vagy egyéb kültéri berendezésekhez.
Válassza a GAO 22111 földelt aljzatot az Aquastar családból, hogy kültéri eszközei mindig biztonságosan és megbízhatóan működjenek! Rendelje meg most, és élvezze a praktikus és tartós csatlakozási megoldást minden nap!</t>
        </is>
      </c>
    </row>
    <row r="951">
      <c r="A951" s="3" t="inlineStr">
        <is>
          <t>22121</t>
        </is>
      </c>
      <c r="B951" s="2" t="inlineStr">
        <is>
          <t>GAO 22121 2 férőhelyes földelt aljzat, kültéri IP44 kivitel, 230 V~ / 50 Hz / 16 A, fehér-füst</t>
        </is>
      </c>
      <c r="C951" s="1" t="n">
        <v>3990.0</v>
      </c>
      <c r="D951" s="7" t="n">
        <f>HYPERLINK("https://www.somogyi.hu/product/gao-22121-2-ferohelyes-foldelt-aljzat-kulteri-ip44-kivitel-230-v-50-hz-16-a-feher-fust-22121-15308","https://www.somogyi.hu/product/gao-22121-2-ferohelyes-foldelt-aljzat-kulteri-ip44-kivitel-230-v-50-hz-16-a-feher-fust-22121-15308")</f>
        <v>0.0</v>
      </c>
      <c r="E951" s="7" t="n">
        <f>HYPERLINK("https://www.somogyi.hu/data/img/product_main_images/small/15308.jpg","https://www.somogyi.hu/data/img/product_main_images/small/15308.jpg")</f>
        <v>0.0</v>
      </c>
      <c r="F951" s="2" t="inlineStr">
        <is>
          <t>4008297221210</t>
        </is>
      </c>
      <c r="G951" s="4" t="inlineStr">
        <is>
          <t>Szüksége van egy időjárásálló és biztonságos aljzatra kültéri használatra, amely egyszerre két eszközt is képes ellátni? A GAO 22121 2 férőhelyes földelt aljzat az Aquastar családból ideális választás, ha megbízható és tartós csatlakozási megoldást keres kültéri eszközei számára. 
Ez a falon kívüli aljzat IP44 védettségi fokozattal rendelkezik, amely garantálja a védelmet a fröccsenő víz és por ellen, így tökéletesen alkalmas kültéri használatra.
A földelt aljzat 230 V~ / 50 Hz névleges feszültséggel és 16 A névleges áramerősséggel működik, biztosítva a biztonságos és hatékony energiaellátást. A két darabos aljzat kialakítása lehetővé teszi, hogy egyszerre több készüléket is csatlakoztathasson, így ideális választás a kerti világításhoz, szerszámokhoz vagy egyéb kültéri berendezésekhez.
Válassza a GAO 22121 2 férőhelyes földelt aljzatot az Aquastar családból, hogy kültéri eszközei mindig biztonságosan és megbízhatóan működjenek! Rendelje meg most, és élvezze a praktikus és tartós csatlakozási megoldást minden nap!</t>
        </is>
      </c>
    </row>
    <row r="952">
      <c r="A952" s="3" t="inlineStr">
        <is>
          <t>9875H</t>
        </is>
      </c>
      <c r="B952" s="2" t="inlineStr">
        <is>
          <t>AQUATOP 9875H falon kívüli csillárkapcsoló, 2 billenő, 10 A, IP54, szürke</t>
        </is>
      </c>
      <c r="C952" s="1" t="n">
        <v>1690.0</v>
      </c>
      <c r="D952" s="7" t="n">
        <f>HYPERLINK("https://www.somogyi.hu/product/aquatop-9875h-falon-kivuli-csillarkapcsolo-2-billeno-10-a-ip54-szurke-9875h-18469","https://www.somogyi.hu/product/aquatop-9875h-falon-kivuli-csillarkapcsolo-2-billeno-10-a-ip54-szurke-9875h-18469")</f>
        <v>0.0</v>
      </c>
      <c r="E952" s="7" t="n">
        <f>HYPERLINK("https://www.somogyi.hu/data/img/product_main_images/small/18469.jpg","https://www.somogyi.hu/data/img/product_main_images/small/18469.jpg")</f>
        <v>0.0</v>
      </c>
      <c r="F952" s="2" t="inlineStr">
        <is>
          <t>4004282498759</t>
        </is>
      </c>
      <c r="G952" s="4" t="inlineStr">
        <is>
          <t>Egy megbízható kapcsolót keres, amely bírja az időjárás viszontagságait és kültéren használható? Az AQUATOP 9875H falon kívüli csillárkapcsolóval nem kell tovább keresgélnie. Ez a robusztus kapcsoló két billenővel rendelkezik, így két különböző fényforrást is képes kezelni, ideális külső világítási rendszerekhez, például kerti pavilonokhoz vagy teraszokhoz.
IP54 besorolásának köszönhetően az AQUATOP 9875H ellenáll a por és fröccsenő víz behatolásának, így bármilyen kültéri környezetben biztonságosan használható. 10 A-t is képes kapcsolni, így sokféle kültéri világítási igényt ki tud elégíteni.
Szürke színével és kompakt méreteivel (92 x 65 x 55 mm) diszkréten illeszkedik a külső területek kialakításához, anélkül, hogy felborítaná azok esztétikáját. A falon kívüli kivitel gyors és egyszerű telepítést tesz lehetővé, így Ön hamar élvezheti a kényelmet és a megnövelt biztonságot, amit ez a csillárkapcsoló nyújt.
Bővítse ki kültéri világítási rendszerét az AQUATOP 9875H falon kívüli csillárkapcsolóval, mely nemcsak praktikus, de időjárásálló megoldást is kínál világítási igényeihez.</t>
        </is>
      </c>
    </row>
    <row r="953">
      <c r="A953" s="3" t="inlineStr">
        <is>
          <t>0509135555</t>
        </is>
      </c>
      <c r="B953" s="2" t="inlineStr">
        <is>
          <t>GAO 0509135555 dugalj zár két kulccsal</t>
        </is>
      </c>
      <c r="C953" s="1" t="n">
        <v>1890.0</v>
      </c>
      <c r="D953" s="7" t="n">
        <f>HYPERLINK("https://www.somogyi.hu/product/gao-0509135555-dugalj-zar-ket-kulccsal-0509135555-19131","https://www.somogyi.hu/product/gao-0509135555-dugalj-zar-ket-kulccsal-0509135555-19131")</f>
        <v>0.0</v>
      </c>
      <c r="E953" s="7" t="n">
        <f>HYPERLINK("https://www.somogyi.hu/data/img/product_main_images/small/19131.jpg","https://www.somogyi.hu/data/img/product_main_images/small/19131.jpg")</f>
        <v>0.0</v>
      </c>
      <c r="F953" s="2" t="inlineStr">
        <is>
          <t>4008297091356</t>
        </is>
      </c>
      <c r="G953" s="4" t="inlineStr">
        <is>
          <t>Hogyan biztosíthatja az elektromos aljzatok biztonságát egyszerűen és hatékonyan? 
A GAO 0509135555 dugalj zár egy praktikus és megbízható megoldás, amely garantálja, hogy a földelt aljzatok illetéktelen hozzáférésektől védettek legyenek. Ez a zár ideális választás otthonokba, irodákba vagy olyan helyekre, ahol a biztonság kiemelten fontos, például kisgyermekek vagy közösségi terek esetén.
Univerzális védelem az elektromos aljzatokhoz 
Ez a dugalj zár kifejezetten földelt, GS szabványú aljzatokhoz készült, így sokoldalúan alkalmazható különböző eszközök, például fali konnektorok, hosszabbítók, elosztók vagy kábeldobok aljzataihoz. Az egyszerűen használható kialakítás megakadályozza, hogy az aljzatokat illetéktelen személyek vagy kisgyermekek használják, miközben biztosítja a teljes körű védelmet.
Biztonságos és könnyen kezelhető megoldás 
A csomag tartalmaz két számozott kulcsot, amelyek garantálják, hogy csak a jogosult személyek férhessenek hozzá az aljzathoz. A kulcsok számozása további kényelmet és rendszerezhetőséget biztosít, különösen akkor, ha több zárat is használ egy háztartásban vagy intézményben. A masszív kialakítás biztosítja a hosszú élettartamot és a megbízhatóságot.
Egyszerű telepítés és széleskörű alkalmazhatóság 
A dugalj zár könnyen és gyorsan felszerelhető, így időt és energiát takarít meg a használat során. Ideális választás minden olyan helyszínre, ahol fontos az elektromos aljzatok védelme, legyen szó irodákról, közösségi terekről vagy otthoni használatról. Kompakt méretének köszönhetően nem foglal sok helyet, miközben hatékony védelmet nyújt.
Miért válassza a GAO 0509135555 dugalj zárat? 
– Megbízható védelem az elektromos aljzatok illetéktelen használata ellen. 
– Egyszerű telepítés és használat. 
– Két számozott kulcs a könnyebb hozzáférés és rendszerezhetőség érdekében. 
– Széles körű alkalmazhatóság otthonokban és intézményekben egyaránt.
Biztosítsa otthona vagy munkahelye elektromos aljzatait a GAO 0509135555 dugalj zárral! Rendelje meg most, és élvezze a maximális biztonságot és nyugalmat minden helyzetben!</t>
        </is>
      </c>
    </row>
    <row r="954">
      <c r="A954" s="3" t="inlineStr">
        <is>
          <t>0511476777</t>
        </is>
      </c>
      <c r="B954" s="2" t="inlineStr">
        <is>
          <t>GAO 0511476777 Business Line IP20 váltókapcsoló, beltéri, 230 V~ /50 Hz / 10 A, barna</t>
        </is>
      </c>
      <c r="C954" s="1" t="n">
        <v>1090.0</v>
      </c>
      <c r="D954" s="7" t="n">
        <f>HYPERLINK("https://www.somogyi.hu/product/gao-0511476777-business-line-ip20-valtokapcsolo-belteri-230-v-50-hz-10-a-barna-0511476777-17853","https://www.somogyi.hu/product/gao-0511476777-business-line-ip20-valtokapcsolo-belteri-230-v-50-hz-10-a-barna-0511476777-17853")</f>
        <v>0.0</v>
      </c>
      <c r="E954" s="7" t="n">
        <f>HYPERLINK("https://www.somogyi.hu/data/img/product_main_images/small/17853.jpg","https://www.somogyi.hu/data/img/product_main_images/small/17853.jpg")</f>
        <v>0.0</v>
      </c>
      <c r="F954" s="2" t="inlineStr">
        <is>
          <t>4008297114765</t>
        </is>
      </c>
      <c r="G954" s="4" t="inlineStr">
        <is>
          <t>Szeretné könnyedén vezérelni otthona vagy irodája világítását több helyről is? A GAO 0511476777 Business Line IP20 váltókapcsoló kiváló megoldás arra, hogy kényelmesen irányítsa világítását akár két különböző helyről is. 
Ez a váltókapcsoló a Business Line család része, amely garantálja a magas minőséget és megbízhatóságot. Az IP20 védettségi fokozat biztosítja, hogy a kapcsoló védett legyen a közepes méretű szilárd tárgyakkal szemben, így tökéletesen alkalmas beltéri használatra. A falon kívüli kivitelű kapcsoló egyszerűen telepíthető anélkül, hogy süllyesztésre lenne szükség, így gyorsan és könnyedén üzembe helyezhető. A barna színű kapcsoló elegáns megjelenést kölcsönöz bármilyen helyiségnek, és könnyen illeszkedik különféle belső terekbe. A váltókapcsoló névleges feszültsége 230 V~ / 50 Hz, névleges áramerőssége pedig 10 A, így biztosítja az optimális teljesítményt és a megbízható működést.
Válassza a GAO 0511476777 Business Line IP20 váltókapcsolót, hogy otthona vagy irodája világítását egyszerűen és kényelmesen vezérelhesse több helyről! Rendelje meg most, és élvezze a praktikus és megbízható világításvezérlés előnyeit minden nap!</t>
        </is>
      </c>
    </row>
    <row r="955">
      <c r="A955" s="3" t="inlineStr">
        <is>
          <t>9870H</t>
        </is>
      </c>
      <c r="B955" s="2" t="inlineStr">
        <is>
          <t>AQUATOP 9870H falon kívüli váltókapcsoló, 10 A, IP54, szürke</t>
        </is>
      </c>
      <c r="C955" s="1" t="n">
        <v>1190.0</v>
      </c>
      <c r="D955" s="7" t="n">
        <f>HYPERLINK("https://www.somogyi.hu/product/aquatop-9870h-falon-kivuli-valtokapcsolo-10-a-ip54-szurke-9870h-18465","https://www.somogyi.hu/product/aquatop-9870h-falon-kivuli-valtokapcsolo-10-a-ip54-szurke-9870h-18465")</f>
        <v>0.0</v>
      </c>
      <c r="E955" s="7" t="n">
        <f>HYPERLINK("https://www.somogyi.hu/data/img/product_main_images/small/18465.jpg","https://www.somogyi.hu/data/img/product_main_images/small/18465.jpg")</f>
        <v>0.0</v>
      </c>
      <c r="F955" s="2" t="inlineStr">
        <is>
          <t>4004282498704</t>
        </is>
      </c>
      <c r="G955" s="4" t="inlineStr">
        <is>
          <t>Egy megbízható megoldást keres kültéri villanyszerelési munkákhoz? Az AQUATOP 9870H falon kívüli váltókapcsoló ideális választás azok számára, akik robusztus és időjárásálló kapcsolót keresnek kertjükbe, teraszukra vagy bármely kültéri helyszínre. Ez a váltókapcsoló akár 10A-t is kapcsol, ami bőségesen elegendő a legtöbb kültéri világítási és elektromos berendezés számára.
Az IP54 besorolás biztosítja, hogy a kapcsoló védett a por és a fröccsenő víz ellen, tehát kiválóan ellenáll a kültéri körülményeknek. A szürke színű, 92 x 65 x 55 mm méretű készülék nemcsak funkcionális, hanem esztétikailag is illeszkedik a modern kültéri tervezési követelményekhez.
Telepítése egyszerű és gyors, így Ön hamar élvezheti annak kényelmét és biztonságát, hogy kültéri világítását vagy berendezéseit könnyedén irányíthatja. Válassza az AQUATOP 9870H falon kívüli váltókapcsolót, hogy kültéri elektromos rendszerei biztonságosan és megbízhatóan működjenek minden időjárási körülmény között.</t>
        </is>
      </c>
    </row>
    <row r="956">
      <c r="A956" s="3" t="inlineStr">
        <is>
          <t>22031</t>
        </is>
      </c>
      <c r="B956" s="2" t="inlineStr">
        <is>
          <t>GAO 22031 csillárkapcsoló, kültéri IP44 kivitel, 230 V~ / 50 Hz / 10 A, fehér</t>
        </is>
      </c>
      <c r="C956" s="1" t="n">
        <v>2290.0</v>
      </c>
      <c r="D956" s="7" t="n">
        <f>HYPERLINK("https://www.somogyi.hu/product/gao-22031-csillarkapcsolo-kulteri-ip44-kivitel-230-v-50-hz-10-a-feher-22031-15314","https://www.somogyi.hu/product/gao-22031-csillarkapcsolo-kulteri-ip44-kivitel-230-v-50-hz-10-a-feher-22031-15314")</f>
        <v>0.0</v>
      </c>
      <c r="E956" s="7" t="n">
        <f>HYPERLINK("https://www.somogyi.hu/data/img/product_main_images/small/15314.jpg","https://www.somogyi.hu/data/img/product_main_images/small/15314.jpg")</f>
        <v>0.0</v>
      </c>
      <c r="F956" s="2" t="inlineStr">
        <is>
          <t>4008297220312</t>
        </is>
      </c>
      <c r="G956" s="4" t="inlineStr">
        <is>
          <t>Szeretné könnyedén kapcsolni kültéri világítását még esős időben is? A GAO 22031 csillárkapcsoló tökéletes megoldás, hogy megbízhatóan vezérelhesse kültéri világítását, bármilyen időjárási körülmények között. 
Ez a fehér színű csillárkapcsoló IP44 védettségi fokozattal rendelkezik, amely biztosítja a védelmet a fröccsenő víz és por ellen, így ideális választás kültéri használatra.
A kapcsoló 230 V~ / 50 Hz feszültségen működik és 10 A névleges áramerősséggel bír, így biztosítja a megbízható teljesítményt és a hosszú élettartamot. A kiváló minőségű anyagokból készült csillárkapcsoló nem csak esztétikus, de tartós és ellenálló is, így hosszú távon biztosítja a kényelmes és biztonságos használatot.
Válassza a GAO 22031 csillárkapcsolót, hogy kültéri világítása mindig kézben tartható legyen, akár esős időben is! Rendelje meg most, és élvezze a praktikus és biztonságos világításvezérlés előnyeit!</t>
        </is>
      </c>
    </row>
    <row r="957">
      <c r="A957" s="3" t="inlineStr">
        <is>
          <t>22081</t>
        </is>
      </c>
      <c r="B957" s="2" t="inlineStr">
        <is>
          <t>GAO 22081 1 pólusú kapcsoló, kültéri IP44 kivitel, 230 V~ / 50 Hz / 10 A, fehér</t>
        </is>
      </c>
      <c r="C957" s="1" t="n">
        <v>2090.0</v>
      </c>
      <c r="D957" s="7" t="n">
        <f>HYPERLINK("https://www.somogyi.hu/product/gao-22081-1-polusu-kapcsolo-kulteri-ip44-kivitel-230-v-50-hz-10-a-feher-22081-15316","https://www.somogyi.hu/product/gao-22081-1-polusu-kapcsolo-kulteri-ip44-kivitel-230-v-50-hz-10-a-feher-22081-15316")</f>
        <v>0.0</v>
      </c>
      <c r="E957" s="7" t="n">
        <f>HYPERLINK("https://www.somogyi.hu/data/img/product_main_images/small/15316.jpg","https://www.somogyi.hu/data/img/product_main_images/small/15316.jpg")</f>
        <v>0.0</v>
      </c>
      <c r="F957" s="2" t="inlineStr">
        <is>
          <t>4008297220817</t>
        </is>
      </c>
      <c r="G957" s="4" t="inlineStr">
        <is>
          <t>Szeretne megbízható és időjárásálló kapcsolót otthona vagy irodája kültéri világításához? A GAO 22081 1 pólusú kapcsoló az Aquastar családból tökéletes megoldást kínál kültéri világításának vezérlésére, biztosítva a megbízható és tartós működést. 
Ez a falon kívüli kapcsoló IP44 védettségi fokozattal rendelkezik, amely garantálja a védelmet a fröccsenő víz és por ellen, így ideális kültéri használatra.
A kapcsoló 230 V~ / 50 Hz névleges feszültséggel és 10 A névleges áramerősséggel működik, ami biztosítja a stabil és hatékony teljesítményt. Az 1 pólusú kialakítás egyszerű és megbízható vezérlést tesz lehetővé, míg a fehér szín elegáns megjelenést biztosít, amely könnyedén illeszkedik bármilyen külső falra vagy bejárati területre.
Válassza a GAO 22081 1 pólusú kapcsolót az Aquastar családból, hogy kültéri világítása mindig könnyen és biztonságosan vezérelhető legyen! Rendelje meg most, és élvezze a praktikus és esztétikus megoldást minden nap!</t>
        </is>
      </c>
    </row>
    <row r="958">
      <c r="A958" s="3" t="inlineStr">
        <is>
          <t>22181</t>
        </is>
      </c>
      <c r="B958" s="2" t="inlineStr">
        <is>
          <t>GAO 22181 2 pólusú kapcsoló, kültéri IP44 kivitel, 230 V~ / 50 Hz / 10 A, fehér</t>
        </is>
      </c>
      <c r="C958" s="1" t="n">
        <v>2290.0</v>
      </c>
      <c r="D958" s="7" t="n">
        <f>HYPERLINK("https://www.somogyi.hu/product/gao-22181-2-polusu-kapcsolo-kulteri-ip44-kivitel-230-v-50-hz-10-a-feher-22181-15315","https://www.somogyi.hu/product/gao-22181-2-polusu-kapcsolo-kulteri-ip44-kivitel-230-v-50-hz-10-a-feher-22181-15315")</f>
        <v>0.0</v>
      </c>
      <c r="E958" s="7" t="n">
        <f>HYPERLINK("https://www.somogyi.hu/data/img/product_main_images/small/15315.jpg","https://www.somogyi.hu/data/img/product_main_images/small/15315.jpg")</f>
        <v>0.0</v>
      </c>
      <c r="F958" s="2" t="inlineStr">
        <is>
          <t>4008297221814</t>
        </is>
      </c>
      <c r="G958" s="4" t="inlineStr">
        <is>
          <t>Gondolkodott már azon, hogyan tehetné otthona elektromos rendszerét még komfortosabbá? A GAO 22181 2 pólusú kapcsoló az Aquastar család tagjaként ideális megoldást nyújt erre a problémára.
Ez a fehér színű, falon kívüli kapcsoló IP44 védettségi fokozattal rendelkezik, így ellenáll a fröccsenő víznek és a szilárd részecskéknek, biztosítva a hosszú távú, zavartalan működést. A névleges feszültsége 230 V~ / 50 Hz, míg a névleges áramerőssége 10 A, ami elegendő kapacitást kínál a legtöbb otthoni eszköz számára. Az egyszerű, de elegáns dizájn és a 2 pólusú kialakítás garantálja a könnyű használatot és a megbízhatóságot.
Ne habozzon tovább! Válassza a GAO 22181 2 pólusú kapcsolót, és élvezze a biztonságosabb és megbízhatóbb áramellátást otthonában!</t>
        </is>
      </c>
    </row>
    <row r="959">
      <c r="A959" s="3" t="inlineStr">
        <is>
          <t>9878H</t>
        </is>
      </c>
      <c r="B959" s="2" t="inlineStr">
        <is>
          <t>AQUATOP 9878H falon kívüli váltókapcsoló és csatlakozóaljzat, 1 billenő, 1 aljzat, függőleges elhelyezkedés, 10 A/16 A, IP54, szürke</t>
        </is>
      </c>
      <c r="C959" s="1" t="n">
        <v>2890.0</v>
      </c>
      <c r="D959" s="7" t="n">
        <f>HYPERLINK("https://www.somogyi.hu/product/aquatop-9878h-falon-kivuli-valtokapcsolo-es-csatlakozoaljzat-1-billeno-1-aljzat-fuggoleges-elhelyezkedes-10-a-16-a-ip54-szurke-9878h-18472","https://www.somogyi.hu/product/aquatop-9878h-falon-kivuli-valtokapcsolo-es-csatlakozoaljzat-1-billeno-1-aljzat-fuggoleges-elhelyezkedes-10-a-16-a-ip54-szurke-9878h-18472")</f>
        <v>0.0</v>
      </c>
      <c r="E959" s="7" t="n">
        <f>HYPERLINK("https://www.somogyi.hu/data/img/product_main_images/small/18472.jpg","https://www.somogyi.hu/data/img/product_main_images/small/18472.jpg")</f>
        <v>0.0</v>
      </c>
      <c r="F959" s="2" t="inlineStr">
        <is>
          <t>4004282498780</t>
        </is>
      </c>
      <c r="G959" s="4" t="inlineStr">
        <is>
          <t>Egy megbízható és időjárásálló megoldást keres, hogy kinti helyiségeiben is kényelmesen kapcsolhassa a fényeket és csatlakoztassa elektromos eszközeit? Az AQUATOP 9878H falon kívüli váltókapcsoló és csatlakozóaljzat ideális választás lehet. Egyetlen billenővel és aljzattal rendelkezik, amely egyszerűvé és gyorssá teszi a használatot kültéri környezetben.
IP54 védettséggel rendelkezik, így ellenáll a por és fröccsenő víz behatolásának, biztosítva a hosszú élettartamot és a megbízható működést. A névleges áramerőssége 10A/16A, ami kiválóan alkalmassá teszi különféle külső elektromos eszközök, például kerti lámpák vagy szerszámgépek táplálására.
Szürke színének és diszkrét méretének (184 x 65 x 55 mm) köszönhetően tökéletesen illeszkedik a kert vagy terasz kialakításához, anélkül, hogy zavarna a környezet esztétikájában. Függőleges elhelyezkedése és a falon kívüli kivitel lehetővé teszi, hogy egyszerűen és gyorsan telepíthető legyen, így Ön rövid időn belül élvezheti a növelt kényelmet és funkcionalitást, amit ez a váltókapcsoló és csatlakozóaljzat kínál.
Válassza az AQUATOP 9878H terméket, ha egy robusztus és egyszerűen használható megoldást keres kültéri elektromos rendszereihez!</t>
        </is>
      </c>
    </row>
    <row r="960">
      <c r="A960" s="6" t="inlineStr">
        <is>
          <t xml:space="preserve">   Villamosság / Szerelvény</t>
        </is>
      </c>
      <c r="B960" s="6" t="inlineStr">
        <is>
          <t/>
        </is>
      </c>
      <c r="C960" s="6" t="inlineStr">
        <is>
          <t/>
        </is>
      </c>
      <c r="D960" s="6" t="inlineStr">
        <is>
          <t/>
        </is>
      </c>
      <c r="E960" s="6" t="inlineStr">
        <is>
          <t/>
        </is>
      </c>
      <c r="F960" s="6" t="inlineStr">
        <is>
          <t/>
        </is>
      </c>
      <c r="G960" s="6" t="inlineStr">
        <is>
          <t/>
        </is>
      </c>
    </row>
    <row r="961">
      <c r="A961" s="3" t="inlineStr">
        <is>
          <t>5221H</t>
        </is>
      </c>
      <c r="B961" s="2" t="inlineStr">
        <is>
          <t>GAO 5221H IP54 kötődoboz, 85 x 85 mm, falon kívüli, vízmentes, szürke</t>
        </is>
      </c>
      <c r="C961" s="1" t="n">
        <v>379.0</v>
      </c>
      <c r="D961" s="7" t="n">
        <f>HYPERLINK("https://www.somogyi.hu/product/gao-5221h-ip54-kotodoboz-85-x-85-mm-falon-kivuli-vizmentes-szurke-5221h-10024","https://www.somogyi.hu/product/gao-5221h-ip54-kotodoboz-85-x-85-mm-falon-kivuli-vizmentes-szurke-5221h-10024")</f>
        <v>0.0</v>
      </c>
      <c r="E961" s="7" t="n">
        <f>HYPERLINK("https://www.somogyi.hu/data/img/product_main_images/small/10024.jpg","https://www.somogyi.hu/data/img/product_main_images/small/10024.jpg")</f>
        <v>0.0</v>
      </c>
      <c r="F961" s="2" t="inlineStr">
        <is>
          <t>4004282452218</t>
        </is>
      </c>
      <c r="G961" s="4" t="inlineStr">
        <is>
          <t>Elgondolkodott már azon, hogyan védheti meg elektromos kötéseit a nedvességtől és egyéb külső hatásoktól? A GAO 5221H IP54 kötődoboz a tökéletes választás, ha falon kívüli, vízmentes megoldásra van szükség. 
Mérete 85 x 85 mm, mely ideális kompakt telepítésekhez, miközben maximális védelmet nyújt. A termék szürke színű, így szinte bármilyen környezethez diszkréten illeszkedik, emellett az IP54-es védelemmel biztosítja, hogy por, fröccsenő víz és egyéb szennyeződések ne juthassanak be. Kialakítása falon kívüli szerelést tesz lehetővé, ami gyors és egyszerű telepítést biztosít, ideális kül- és beltéri használatra egyaránt.
Válassza a GAO 5221H kötődoboz megbízhatóságát, és védje elektromos rendszereit a környezeti hatásoktól! Ne hagyja ki, vásároljon most, és biztosítsa a zavartalan működést hosszú távon!</t>
        </is>
      </c>
    </row>
    <row r="962">
      <c r="A962" s="3" t="inlineStr">
        <is>
          <t>0708S</t>
        </is>
      </c>
      <c r="B962" s="2" t="inlineStr">
        <is>
          <t>GAO 0708S E27 foglalat, 60 W, fekete</t>
        </is>
      </c>
      <c r="C962" s="1" t="n">
        <v>519.0</v>
      </c>
      <c r="D962" s="7" t="n">
        <f>HYPERLINK("https://www.somogyi.hu/product/gao-0708s-e27-foglalat-60-w-fekete-0708s-10028","https://www.somogyi.hu/product/gao-0708s-e27-foglalat-60-w-fekete-0708s-10028")</f>
        <v>0.0</v>
      </c>
      <c r="E962" s="7" t="n">
        <f>HYPERLINK("https://www.somogyi.hu/data/img/product_main_images/small/10028.jpg","https://www.somogyi.hu/data/img/product_main_images/small/10028.jpg")</f>
        <v>0.0</v>
      </c>
      <c r="F962" s="2" t="inlineStr">
        <is>
          <t>4004282407089</t>
        </is>
      </c>
      <c r="G962" s="4" t="inlineStr">
        <is>
          <t>Szüksége van egy megbízható és egyszerűen telepíthető foglalatra? A GAO 0708S E27 foglalat tökéletes választás, ha otthonában vagy irodájában megbízható világítási megoldást keres. 
Ez a fekete színű E27 foglalat kompatibilis a legtöbb szabványos izzóval, így sokoldalúan használható különféle világítási igényekhez. A foglalat névleges teljesítménye 60 W, ami biztosítja az optimális fényerőt és a hatékony energiafelhasználást. A kiváló minőségű anyagokból készült foglalat hosszú élettartamot és biztonságos használatot garantál.
Egyszerű és gyors telepítése lehetővé teszi, hogy könnyedén kicserélje régi foglalatát vagy új világítási projektet valósítson meg. Ideális választás lámpák, csillárok és egyéb világítótestek számára, ahol megbízható és stabil foglalatra van szükség.
Válassza a GAO 0708S E27 foglalatot, hogy otthona vagy irodája világítása mindig megbízható és biztonságos legyen! Rendelje meg most, és élvezze a könnyű telepítés és a kiváló minőség előnyeit!</t>
        </is>
      </c>
    </row>
    <row r="963">
      <c r="A963" s="3" t="inlineStr">
        <is>
          <t>5229H</t>
        </is>
      </c>
      <c r="B963" s="2" t="inlineStr">
        <is>
          <t>GAO 5229H IP54 kötődoboz, 75 x 45 mm, falon kívüli, vízmentes, szürke</t>
        </is>
      </c>
      <c r="C963" s="1" t="n">
        <v>269.0</v>
      </c>
      <c r="D963" s="7" t="n">
        <f>HYPERLINK("https://www.somogyi.hu/product/gao-5229h-ip54-kotodoboz-75-x-45-mm-falon-kivuli-vizmentes-szurke-5229h-10022","https://www.somogyi.hu/product/gao-5229h-ip54-kotodoboz-75-x-45-mm-falon-kivuli-vizmentes-szurke-5229h-10022")</f>
        <v>0.0</v>
      </c>
      <c r="E963" s="7" t="n">
        <f>HYPERLINK("https://www.somogyi.hu/data/img/product_main_images/small/10022.jpg","https://www.somogyi.hu/data/img/product_main_images/small/10022.jpg")</f>
        <v>0.0</v>
      </c>
      <c r="F963" s="2" t="inlineStr">
        <is>
          <t>4004282452294</t>
        </is>
      </c>
      <c r="G963" s="4" t="inlineStr">
        <is>
          <t>Keresi a megoldást, hogy megvédje elektromos csatlakozásait a nedvességtől és a poros környezettől? A GAO 5229H IP54 kötődoboz tökéletes választás az ilyen kihívások leküzdésére.
Ez a szürke, falon kívüli kötődoboz 75 x 45 mm-es méretben kapható, és IP54-es védettségi fokozattal rendelkezik. Ez azt jelenti, hogy hatékonyan véd a por és a fröccsenő víz ellen, biztosítva a hosszú távú, megbízható működést. A vízmentes kialakítás lehetővé teszi a biztonságos használatot különböző környezetekben, legyen szó akár beltéri, akár kültéri alkalmazásról.
Ne késlekedjen! Válassza a GAO 5229H IP54 kötődobozt, és garantálja elektromos csatlakozásai biztonságát és megbízhatóságát.</t>
        </is>
      </c>
    </row>
    <row r="964">
      <c r="A964" s="3" t="inlineStr">
        <is>
          <t>5232H</t>
        </is>
      </c>
      <c r="B964" s="2" t="inlineStr">
        <is>
          <t>GAO 5232H IP54 kötődoboz, 75 x 75 mm, falon kívüli, vízmentes, szürke</t>
        </is>
      </c>
      <c r="C964" s="1" t="n">
        <v>339.0</v>
      </c>
      <c r="D964" s="7" t="n">
        <f>HYPERLINK("https://www.somogyi.hu/product/gao-5232h-ip54-kotodoboz-75-x-75-mm-falon-kivuli-vizmentes-szurke-5232h-10023","https://www.somogyi.hu/product/gao-5232h-ip54-kotodoboz-75-x-75-mm-falon-kivuli-vizmentes-szurke-5232h-10023")</f>
        <v>0.0</v>
      </c>
      <c r="E964" s="7" t="n">
        <f>HYPERLINK("https://www.somogyi.hu/data/img/product_main_images/small/10023.jpg","https://www.somogyi.hu/data/img/product_main_images/small/10023.jpg")</f>
        <v>0.0</v>
      </c>
      <c r="F964" s="2" t="inlineStr">
        <is>
          <t>4004282452324</t>
        </is>
      </c>
      <c r="G964" s="4" t="inlineStr">
        <is>
          <t>Keresi a megoldást, hogy megvédje elektromos csatlakozásait a nedvességtől és a poros környezettől? A GAO 5232H IP54 kötődoboz tökéletes választás az ilyen kihívások leküzdésére.
Ez a szürke, falon kívüli kötődoboz 75 x 75 mm-es méretben kapható, és IP54-es védettségi fokozattal rendelkezik. Ez azt jelenti, hogy hatékonyan véd a por és a fröccsenő víz ellen, biztosítva a hosszú távú, megbízható működést. A vízmentes kialakítás lehetővé teszi a biztonságos használatot különböző környezetekben, legyen szó akár beltéri, akár kültéri alkalmazásról.
Ne késlekedjen! Válassza a GAO 5232H IP54 kötődobozt, és garantálja elektromos csatlakozásai biztonságát és megbízhatóságát.</t>
        </is>
      </c>
    </row>
    <row r="965">
      <c r="A965" s="3" t="inlineStr">
        <is>
          <t>5233H</t>
        </is>
      </c>
      <c r="B965" s="2" t="inlineStr">
        <is>
          <t>GAO 5233H IP54 kötődoboz, 100 x 100 mm, falon kívüli, vízmentes, szürke</t>
        </is>
      </c>
      <c r="C965" s="1" t="n">
        <v>459.0</v>
      </c>
      <c r="D965" s="7" t="n">
        <f>HYPERLINK("https://www.somogyi.hu/product/gao-5233h-ip54-kotodoboz-100-x-100-mm-falon-kivuli-vizmentes-szurke-5233h-10025","https://www.somogyi.hu/product/gao-5233h-ip54-kotodoboz-100-x-100-mm-falon-kivuli-vizmentes-szurke-5233h-10025")</f>
        <v>0.0</v>
      </c>
      <c r="E965" s="7" t="n">
        <f>HYPERLINK("https://www.somogyi.hu/data/img/product_main_images/small/10025.jpg","https://www.somogyi.hu/data/img/product_main_images/small/10025.jpg")</f>
        <v>0.0</v>
      </c>
      <c r="F965" s="2" t="inlineStr">
        <is>
          <t>4004282452331</t>
        </is>
      </c>
      <c r="G965" s="4" t="inlineStr">
        <is>
          <t>Keresi a megoldást, hogy megvédje elektromos csatlakozásait a nedvességtől és a poros környezettől? A GAO 5233H IP54 kötődoboz tökéletes választás az ilyen kihívások leküzdésére.
Ez a szürke, falon kívüli kötődoboz 100 x 100 mm-es méretben kapható, és IP54-es védettségi fokozattal rendelkezik. Ez azt jelenti, hogy hatékonyan véd a por és a fröccsenő víz ellen, biztosítva a hosszú távú, megbízható működést. A vízmentes kialakítás lehetővé teszi a biztonságos használatot különböző környezetekben, legyen szó akár beltéri, akár kültéri alkalmazásról.
Ne késlekedjen! Válassza a GAO 5233H IP54 kötődobozt, és garantálja elektromos csatlakozásai biztonságát és megbízhatóságát.</t>
        </is>
      </c>
    </row>
    <row r="966">
      <c r="A966" s="3" t="inlineStr">
        <is>
          <t>0716S</t>
        </is>
      </c>
      <c r="B966" s="2" t="inlineStr">
        <is>
          <t>GAO 0716S E27 foglalat, 60 W, fehér</t>
        </is>
      </c>
      <c r="C966" s="1" t="n">
        <v>489.0</v>
      </c>
      <c r="D966" s="7" t="n">
        <f>HYPERLINK("https://www.somogyi.hu/product/gao-0716s-e27-foglalat-60-w-feher-0716s-10029","https://www.somogyi.hu/product/gao-0716s-e27-foglalat-60-w-feher-0716s-10029")</f>
        <v>0.0</v>
      </c>
      <c r="E966" s="7" t="n">
        <f>HYPERLINK("https://www.somogyi.hu/data/img/product_main_images/small/10029.jpg","https://www.somogyi.hu/data/img/product_main_images/small/10029.jpg")</f>
        <v>0.0</v>
      </c>
      <c r="F966" s="2" t="inlineStr">
        <is>
          <t>4004282407164</t>
        </is>
      </c>
      <c r="G966" s="4" t="inlineStr">
        <is>
          <t>Szüksége van egy megbízható és egyszerűen telepíthető foglalatra? A GAO 0716S E27 foglalat tökéletes választás, ha otthonában vagy irodájában megbízható világítási megoldást keres. 
Ez a fehér színű E27 foglalat kompatibilis a legtöbb szabványos izzóval, így sokoldalúan használható különféle világítási igényekhez. A foglalat névleges teljesítménye 60 W, ami biztosítja az optimális fényerőt és a hatékony energiafelhasználást. A kiváló minőségű anyagokból készült foglalat hosszú élettartamot és biztonságos használatot garantál.
Egyszerű és gyors telepítése lehetővé teszi, hogy könnyedén kicserélje régi foglalatát vagy új világítási projektet valósítson meg. Ideális választás lámpák, csillárok és egyéb világítótestek számára, ahol megbízható és stabil foglalatra van szükség.
Válassza a GAO 0716S E27 foglalatot, hogy otthona vagy irodája világítása mindig megbízható és biztonságos legyen! Rendelje meg most, és élvezze a könnyű telepítés és a kiváló minőség előnyeit!</t>
        </is>
      </c>
    </row>
    <row r="967">
      <c r="A967" s="6" t="inlineStr">
        <is>
          <t xml:space="preserve">   Villamosság / Almérő</t>
        </is>
      </c>
      <c r="B967" s="6" t="inlineStr">
        <is>
          <t/>
        </is>
      </c>
      <c r="C967" s="6" t="inlineStr">
        <is>
          <t/>
        </is>
      </c>
      <c r="D967" s="6" t="inlineStr">
        <is>
          <t/>
        </is>
      </c>
      <c r="E967" s="6" t="inlineStr">
        <is>
          <t/>
        </is>
      </c>
      <c r="F967" s="6" t="inlineStr">
        <is>
          <t/>
        </is>
      </c>
      <c r="G967" s="6" t="inlineStr">
        <is>
          <t/>
        </is>
      </c>
    </row>
    <row r="968">
      <c r="A968" s="3" t="inlineStr">
        <is>
          <t>5031H</t>
        </is>
      </c>
      <c r="B968" s="2" t="inlineStr">
        <is>
          <t>GAO 1 fázisú felújított almérő, 230-250 V, 10/30 A, számlázási célra nem alkalmas, fekete,</t>
        </is>
      </c>
      <c r="C968" s="1" t="n">
        <v>8590.0</v>
      </c>
      <c r="D968" s="7" t="n">
        <f>HYPERLINK("https://www.somogyi.hu/product/gao-1-fazisu-felujitott-almero-230-250-v-10-30-a-szamlazasi-celra-nem-alkalmas-fekete-5031h-10107","https://www.somogyi.hu/product/gao-1-fazisu-felujitott-almero-230-250-v-10-30-a-szamlazasi-celra-nem-alkalmas-fekete-5031h-10107")</f>
        <v>0.0</v>
      </c>
      <c r="E968" s="7" t="n">
        <f>HYPERLINK("https://www.somogyi.hu/data/img/product_main_images/small/10107.jpg","https://www.somogyi.hu/data/img/product_main_images/small/10107.jpg")</f>
        <v>0.0</v>
      </c>
      <c r="F968" s="2" t="inlineStr">
        <is>
          <t>4004282450313</t>
        </is>
      </c>
      <c r="G968" s="4" t="inlineStr">
        <is>
          <t>Egy megbízható és praktikus megoldást keres energiafogyasztásának nyomon követésére otthonában? A GAO 1 fázisú felújított almérő tökéletes választás lehet, ha olyan készüléket keres, ami segít ellenőrizni az elektromos energiafogyasztást.
Ez az almérő fekete színben érhető el, amely esztétikus megjelenést biztosít beltéri környezetben. A készülék a legtöbb otthoni elektromos rendszerrel kompatibilis, hiszen 230-250 V, 10/30 A paraméterekkel rendelkezik. Így könnyedén beilleszthető a meglévő elektromos infrastruktúrába.
Fontos megjegyezni, hogy a GAO 1 fázisú felújított almérő kizárólag a háztartási energiafogyasztás nyomon követésére szolgál, számlázási célra nem alkalmas. Ezáltal ideális választás azoknak, akik szeretnék tudni, mennyi elektromos energiát használnak fel otthonukban, anélkül, hogy hivatalos mérésre lenne szükségük.
Válassza a GAO 1 fázisú felújított almérőt, ha szeretne pontos képet kapni otthoni energiafogyasztásáról. Rendelje meg most, és legyen tudatában energiahasználatának, hogy hatékonyabban tudjon gazdálkodni elektromos energiával otthonában!</t>
        </is>
      </c>
    </row>
    <row r="969">
      <c r="A969" s="6" t="inlineStr">
        <is>
          <t xml:space="preserve">   Villamosság / Szünetmentes táp, feszültség stabilizátor</t>
        </is>
      </c>
      <c r="B969" s="6" t="inlineStr">
        <is>
          <t/>
        </is>
      </c>
      <c r="C969" s="6" t="inlineStr">
        <is>
          <t/>
        </is>
      </c>
      <c r="D969" s="6" t="inlineStr">
        <is>
          <t/>
        </is>
      </c>
      <c r="E969" s="6" t="inlineStr">
        <is>
          <t/>
        </is>
      </c>
      <c r="F969" s="6" t="inlineStr">
        <is>
          <t/>
        </is>
      </c>
      <c r="G969" s="6" t="inlineStr">
        <is>
          <t/>
        </is>
      </c>
    </row>
    <row r="970">
      <c r="A970" s="3" t="inlineStr">
        <is>
          <t>UPS 1000</t>
        </is>
      </c>
      <c r="B970" s="2" t="inlineStr">
        <is>
          <t>Home UPS 1000 szünetmentes táp- és feszültségstabilizátor, 1000 VA látszólagos teljesítmény, 140 – 275 V ~ bemenő hálózati feszültséghez</t>
        </is>
      </c>
      <c r="C970" s="1" t="n">
        <v>61990.0</v>
      </c>
      <c r="D970" s="7" t="n">
        <f>HYPERLINK("https://www.somogyi.hu/product/home-ups-1000-szunetmentes-tap-es-feszultsegstabilizator-1000-va-latszolagos-teljesitmeny-140-275-v-bemeno-halozati-feszultseghez-ups-1000-16912","https://www.somogyi.hu/product/home-ups-1000-szunetmentes-tap-es-feszultsegstabilizator-1000-va-latszolagos-teljesitmeny-140-275-v-bemeno-halozati-feszultseghez-ups-1000-16912")</f>
        <v>0.0</v>
      </c>
      <c r="E970" s="7" t="n">
        <f>HYPERLINK("https://www.somogyi.hu/data/img/product_main_images/small/16912.jpg","https://www.somogyi.hu/data/img/product_main_images/small/16912.jpg")</f>
        <v>0.0</v>
      </c>
      <c r="F970" s="2" t="inlineStr">
        <is>
          <t>5999084949440</t>
        </is>
      </c>
      <c r="G970" s="4" t="inlineStr">
        <is>
          <t>Gondolkodott már azon, hogyan biztosíthatná elektromos készülékeit a hálózati feszültségingadozások és áramkimaradások ellen? A Home UPS 1000 szünetmentes táp- és feszültségstabilizátor ideális megoldást kínál ezekre a problémákra.
A készülék feszültségstabilizátor funkcióval rendelkezik, ami 140 – 275 V ~ bemenő hálózati feszültséghez igazodik. A 1000 VA látszólagos teljesítmény és 700 W hatásos teljesítmény biztosítja, hogy elektromos eszközei stabil és megbízható áramellátást kapjanak. Az inverter és UPS szünetmentes tápfunkció lehetővé teszi, hogy csatlakoztatott 12 V akkumulátor segítségével folyamatosan működjenek az eszközei áramszünet esetén is.
A beépített akkumulátortöltő 10 A töltőárammal rendelkezik, és javasolt használni legalább 40 Ah kapacitású akkumulátort a hatékony működés érdekében. A "Pure Sine" technológia garantálja, hogy a hálózatival megegyező, tiszta szinuszos feszültséget állítson elő, így a csatlakoztatott eszközök optimálisan működnek.
A két földelt GS csatlakozóaljzat lehetővé teszi több eszköz egyidejű csatlakoztatását. A hálózati csatlakozókábel hossza 78 cm, míg az akkumulátor csatlakozókábelek hossza 72 cm, így könnyen elhelyezhető a kívánt helyen. Méretei (14,5x17x34 cm) és súlya (7,4 kg) ideálisak otthoni vagy kis irodai használatra.
Válassza a Home UPS 1000 szünetmentes táp- és feszültségstabilizátort, és élvezze a folyamatos, stabil és megbízható áramellátást, amely védelmet nyújt a hálózati ingadozások és áramkimaradások ellen. Rendelje meg most, és biztosítsa elektromos eszközeit a legjobb védelemmel!</t>
        </is>
      </c>
    </row>
    <row r="971">
      <c r="A971" s="3" t="inlineStr">
        <is>
          <t>AVR500S</t>
        </is>
      </c>
      <c r="B971" s="2" t="inlineStr">
        <is>
          <t>HOME AVR500S feszültségstabilizátor, 500VA, automatikus működés, vékony kivitel, falra szerelhető, színes digitális kijelző, teljeskörű meghibásodás elleni védelem</t>
        </is>
      </c>
      <c r="C971" s="1" t="n">
        <v>18590.0</v>
      </c>
      <c r="D971" s="7" t="n">
        <f>HYPERLINK("https://www.somogyi.hu/product/home-avr500s-feszultsegstabilizator-500va-automatikus-mukodes-vekony-kivitel-falra-szerelheto-szines-digitalis-kijelzo-teljeskoru-meghibasodas-elleni-vedelem-avr500s-19023","https://www.somogyi.hu/product/home-avr500s-feszultsegstabilizator-500va-automatikus-mukodes-vekony-kivitel-falra-szerelheto-szines-digitalis-kijelzo-teljeskoru-meghibasodas-elleni-vedelem-avr500s-19023")</f>
        <v>0.0</v>
      </c>
      <c r="E971" s="7" t="n">
        <f>HYPERLINK("https://www.somogyi.hu/data/img/product_main_images/small/19023.jpg","https://www.somogyi.hu/data/img/product_main_images/small/19023.jpg")</f>
        <v>0.0</v>
      </c>
      <c r="F971" s="2" t="inlineStr">
        <is>
          <t>5999084970178</t>
        </is>
      </c>
      <c r="G971" s="4" t="inlineStr">
        <is>
          <t>Gyakran tapasztal instabil hálózati feszültséget, amely veszélyezteti háztartási készülékeit? A HOME AVR500S feszültségstabilizátor megoldást kínál erre a problémára, biztosítva készülékei biztonságos és folyamatos működését!
Ez az eszköz ideális választás olyan helyeken, ahol a hálózati feszültség gyakran ingadozik 140 és 260V között. A HOME AVR500S automatikusan kiegyenlíti ezeket az eltéréseket, megvédve készülékeit a meghibásodástól. Nincs szükség manuális beavatkozásra, mivel a készülék folyamatosan figyeli a feszültségszintet, és azonnal korrigálja a kilengéseket, biztosítva ezzel az egyenletes áramellátást, amely létfontosságú a folyamatosan működő elektronikai eszközök számára.
A feszültségszabályozó teljes körű védelmet nyújt a túl magas vagy túl alacsony feszültség okozta károsodások ellen, megakadályozva a túlterhelés és túlmelegedés okozta problémákat is. Ez nemcsak a készülékei biztonságát garantálja, hanem azok hosszabb élettartamát is. A feszültségstabilizátor beépített áramköri védelemmel is rendelkezik, amely még egy szinttel tovább növeli a biztonságot.
Az eszköz kompakt és falra szerelhető kivitele lehetővé teszi, hogy diszkréten helyezze el otthonában vagy bármely más helyiségben, ahol nincs sok szabad hely. 
A vékony kialakítás révén könnyedén beilleszthető a lakás bármely pontjára anélkül, hogy túl sok helyet foglalna. Mindezek mellett a modern, színes digitális kijelző segíti a könnyű használatot, valós időben megjelenítve a hálózati feszültség aktuális állapotát. Így mindig pontosan láthatja, hogy milyen feszültségen működnek készülékei, és ha bármi szokatlan történik, azonnal észlelheti.
A készülék kettős voltmérővel is rendelkezik, amely pontosan méri mind a bemeneti, mind a kimeneti feszültséget. Ez a funkció még megbízhatóbb működést biztosít, és lehetőséget ad a feszültségszintek folyamatos ellenőrzésére. A feszültségstabilizátor kimeneti csatlakozóaljzata védőérintkezős, gyermekzárral ellátott, így biztonságos a család minden tagja számára, még a legkisebbek számára is.
Védje meg otthoni berendezéseit a feszültségingadozásoktól és élvezze a zavartalan működést a HOME AVR500S feszültségstabilizátorral, amely biztonságot és kényelmet nyújt az egész háztartás számára!</t>
        </is>
      </c>
    </row>
    <row r="972">
      <c r="A972" s="3" t="inlineStr">
        <is>
          <t>AVR2000S</t>
        </is>
      </c>
      <c r="B972" s="2" t="inlineStr">
        <is>
          <t>HOME AVR2000S feszültségstabilizátor, 2000VA, automatikus működés, vékony kivitel, falra szerelhető, színes digitális kijelző, teljeskörű meghibásodás elleni védelem</t>
        </is>
      </c>
      <c r="C972" s="1" t="n">
        <v>28190.0</v>
      </c>
      <c r="D972" s="7" t="n">
        <f>HYPERLINK("https://www.somogyi.hu/product/home-avr2000s-feszultsegstabilizator-2000va-automatikus-mukodes-vekony-kivitel-falra-szerelheto-szines-digitalis-kijelzo-teljeskoru-meghibasodas-elleni-vedelem-avr2000s-19025","https://www.somogyi.hu/product/home-avr2000s-feszultsegstabilizator-2000va-automatikus-mukodes-vekony-kivitel-falra-szerelheto-szines-digitalis-kijelzo-teljeskoru-meghibasodas-elleni-vedelem-avr2000s-19025")</f>
        <v>0.0</v>
      </c>
      <c r="E972" s="7" t="n">
        <f>HYPERLINK("https://www.somogyi.hu/data/img/product_main_images/small/19025.jpg","https://www.somogyi.hu/data/img/product_main_images/small/19025.jpg")</f>
        <v>0.0</v>
      </c>
      <c r="F972" s="2" t="inlineStr">
        <is>
          <t>5999084970185</t>
        </is>
      </c>
      <c r="G972" s="4" t="inlineStr">
        <is>
          <t>Megbízható védelmet keres háztartási készülékei számára az ingadozó feszültség ellen? A HOME AVR2000S feszültségstabilizátor 2000VA teljesítménnyel tökéletes megoldást kínál, hogy megóvja eszközeit a feszültségingadozásoktól, és biztosítsa azok folyamatos, biztonságos működését.
Az automatikus feszültségszabályozó 140V és 260V közötti instabil hálózati feszültség esetén is kiegyenlíti a feszültségingadozásokat, így megelőzve a készülékek károsodását. A 2000VA teljesítményű stabilizátor képes nagyobb teljesítményű háztartási eszközök védelmére is, legyen szó hűtőkről, televíziókról, számítógépekről vagy egyéb érzékeny berendezésekről. A készülék folyamatos feszültségszabályozást végez, így biztosítja az eszközök zavartalan működését még a szélsőséges feszültségviszonyok mellett is.
A HOME AVR2000S emellett állítható visszakapcsolási késleltetéssel rendelkezik, amely extra védelmet nyújt a hálózati áramellátás esetleges ingadozásai után. A színes digitális kijelzőn könnyedén nyomon követhető a hálózati feszültség állapota, miközben a kettős voltmérő biztosítja a pontos bemeneti és kimeneti feszültség figyelését. A védőérintkezős csatlakozóaljzat gyermekzárral van ellátva, így a használata biztonságos családok számára is.
A feszültségstabilizátor további biztonsági funkciókkal is fel van szerelve, beleértve a túl magas és túl alacsony feszültség, túlterhelés, túlmelegedés és áramköri hibák elleni védelmet. Ezek a funkciók együttesen gondoskodnak arról, hogy háztartási készülékei mindig védve legyenek, és hosszú élettartamot biztosítanak számukra. A falra szerelhető, vékony kivitelű eszköz diszkrét és praktikus elhelyezést tesz lehetővé, így helytakarékos megoldást kínál bármilyen helyiségben. A modern dizájn és a könnyű kezelhetőség révén a HOME AVR2000S nemcsak hatékony, hanem felhasználóbarát is.
Védje meg háztartási készülékeit a hálózati feszültségingadozásoktól a HOME AVR2000S feszültségstabilizátorral, és biztosítsa készülékei hosszú távú biztonságos működését!</t>
        </is>
      </c>
    </row>
    <row r="973">
      <c r="A973" s="6" t="inlineStr">
        <is>
          <t xml:space="preserve">   Villamosság / Elosztó</t>
        </is>
      </c>
      <c r="B973" s="6" t="inlineStr">
        <is>
          <t/>
        </is>
      </c>
      <c r="C973" s="6" t="inlineStr">
        <is>
          <t/>
        </is>
      </c>
      <c r="D973" s="6" t="inlineStr">
        <is>
          <t/>
        </is>
      </c>
      <c r="E973" s="6" t="inlineStr">
        <is>
          <t/>
        </is>
      </c>
      <c r="F973" s="6" t="inlineStr">
        <is>
          <t/>
        </is>
      </c>
      <c r="G973" s="6" t="inlineStr">
        <is>
          <t/>
        </is>
      </c>
    </row>
    <row r="974">
      <c r="A974" s="3" t="inlineStr">
        <is>
          <t>NV 3K-3/WH/1,5</t>
        </is>
      </c>
      <c r="B974" s="2" t="inlineStr">
        <is>
          <t>Home NV 3K-3/WH/1,5 hálózati elosztó, 3 m, H05VV-F 3G1,5 mm2 kábel, kétpólusú kapcsoló, IP20 kivitel, 3 védőérintkezős aljzat, max. 3500W, fehér</t>
        </is>
      </c>
      <c r="C974" s="1" t="n">
        <v>3190.0</v>
      </c>
      <c r="D974" s="7" t="n">
        <f>HYPERLINK("https://www.somogyi.hu/product/home-nv-3k-3-wh-1-5-halozati-eloszto-3-m-h05vv-f-3g1-5-mm2-kabel-ketpolusu-kapcsolo-ip20-kivitel-3-vedoerintkezos-aljzat-max-3500w-feher-nv-3k-3-wh-1-5-16811","https://www.somogyi.hu/product/home-nv-3k-3-wh-1-5-halozati-eloszto-3-m-h05vv-f-3g1-5-mm2-kabel-ketpolusu-kapcsolo-ip20-kivitel-3-vedoerintkezos-aljzat-max-3500w-feher-nv-3k-3-wh-1-5-16811")</f>
        <v>0.0</v>
      </c>
      <c r="E974" s="7" t="n">
        <f>HYPERLINK("https://www.somogyi.hu/data/img/product_main_images/small/16811.jpg","https://www.somogyi.hu/data/img/product_main_images/small/16811.jpg")</f>
        <v>0.0</v>
      </c>
      <c r="F974" s="2" t="inlineStr">
        <is>
          <t>5999084948436</t>
        </is>
      </c>
      <c r="G974" s="4" t="inlineStr">
        <is>
          <t>Az NV 3K-3/WH/1,5 Kapcsolós hálózati elosztó 3 db aljzattal ellátott, melyet egy fő kapcsolóval áramtalanítani tud. A biztonságos használat érdekében IP 20 védelemmel és gyermekvédelemmel ellátott. A fehér színű elosztó 3 m hosszú H05VV-F 3G1,5 mm2 kábellel felszerelt. Maximum 3500 W-ig terhelhető. 
Vásároljon megbízható hálózati elosztót!</t>
        </is>
      </c>
    </row>
    <row r="975">
      <c r="A975" s="3" t="inlineStr">
        <is>
          <t>NV 3/BK</t>
        </is>
      </c>
      <c r="B975" s="2" t="inlineStr">
        <is>
          <t>Home NV 3/BK hálózati elosztó, 1,5 m, H05VV-F 3G1,0 mm2 kábel, IP20 kivitel, 3 védőérintkezős aljzat, max. 3500W, fekete</t>
        </is>
      </c>
      <c r="C975" s="1" t="n">
        <v>1590.0</v>
      </c>
      <c r="D975" s="7" t="n">
        <f>HYPERLINK("https://www.somogyi.hu/product/home-nv-3-bk-halozati-eloszto-1-5-m-h05vv-f-3g1-0-mm2-kabel-ip20-kivitel-3-vedoerintkezos-aljzat-max-3500w-fekete-nv-3-bk-16797","https://www.somogyi.hu/product/home-nv-3-bk-halozati-eloszto-1-5-m-h05vv-f-3g1-0-mm2-kabel-ip20-kivitel-3-vedoerintkezos-aljzat-max-3500w-fekete-nv-3-bk-16797")</f>
        <v>0.0</v>
      </c>
      <c r="E975" s="7" t="n">
        <f>HYPERLINK("https://www.somogyi.hu/data/img/product_main_images/small/16797.jpg","https://www.somogyi.hu/data/img/product_main_images/small/16797.jpg")</f>
        <v>0.0</v>
      </c>
      <c r="F975" s="2" t="inlineStr">
        <is>
          <t>5999084948290</t>
        </is>
      </c>
      <c r="G975" s="4" t="inlineStr">
        <is>
          <t>Az NV 3/BK Hálózati elosztó fekete színű, 3 db aljzattal és 1,5 m hosszú H05VV-F 3G1,0 mm2 kábellel felszerelt. A biztonságos használat érdekében gyermekvédelemmel ellátott. Maximum 3500 W-ig terhelhető.
Vásároljon megbízható hálózati elosztót és oldja meg egyszerűen elektromos eszközei tápellátását egy helyről.</t>
        </is>
      </c>
    </row>
    <row r="976">
      <c r="A976" s="3" t="inlineStr">
        <is>
          <t>NV 04TK-5/WH/1,5</t>
        </is>
      </c>
      <c r="B976" s="2" t="inlineStr">
        <is>
          <t>Home NV 04TK-5/WH/1,5, talpkapcsolós elosztó világító kapcsolóval, 5 m, H05VV-F 3G1,5 mm2 kábel, 4 aljzat gyermekvédelemmel, max. 3500W, fehér</t>
        </is>
      </c>
      <c r="C976" s="1" t="n">
        <v>5690.0</v>
      </c>
      <c r="D976" s="7" t="n">
        <f>HYPERLINK("https://www.somogyi.hu/product/home-nv-04tk-5-wh-1-5-talpkapcsolos-eloszto-vilagito-kapcsoloval-5-m-h05vv-f-3g1-5-mm2-kabel-4-aljzat-gyermekvedelemmel-max-3500w-feher-nv-04tk-5-wh-1-5-17159","https://www.somogyi.hu/product/home-nv-04tk-5-wh-1-5-talpkapcsolos-eloszto-vilagito-kapcsoloval-5-m-h05vv-f-3g1-5-mm2-kabel-4-aljzat-gyermekvedelemmel-max-3500w-feher-nv-04tk-5-wh-1-5-17159")</f>
        <v>0.0</v>
      </c>
      <c r="E976" s="7" t="n">
        <f>HYPERLINK("https://www.somogyi.hu/data/img/product_main_images/small/17159.jpg","https://www.somogyi.hu/data/img/product_main_images/small/17159.jpg")</f>
        <v>0.0</v>
      </c>
      <c r="F976" s="2" t="inlineStr">
        <is>
          <t>5999084951917</t>
        </is>
      </c>
      <c r="G976" s="4" t="inlineStr">
        <is>
          <t>NV 04TK-5/WH/1,5 típusú talpkapcsolós elosztó világító kapcsolóval van ellátva. A négy aljzathoz 5 méteres kábel tartozik. A termék előnye, hogy a negyedik aljzat külön található, hogy kényelmesen elférjen pl. egy adapter. Válassza a minőségi termékeket és rendeljen webáruházunkból!</t>
        </is>
      </c>
    </row>
    <row r="977">
      <c r="A977" s="3" t="inlineStr">
        <is>
          <t>NV 6-3/BK/1,5</t>
        </is>
      </c>
      <c r="B977" s="2" t="inlineStr">
        <is>
          <t>Home NV 6-3/BK/1,5 hálózati elosztó, 3 m, H05VV-F 3G1,5 mm2 kábel,  IP20 kivitel, 6 védőérintkezős aljzat, max. 3500W, fekete</t>
        </is>
      </c>
      <c r="C977" s="1" t="n">
        <v>3390.0</v>
      </c>
      <c r="D977" s="7" t="n">
        <f>HYPERLINK("https://www.somogyi.hu/product/home-nv-6-3-bk-1-5-halozati-eloszto-3-m-h05vv-f-3g1-5-mm2-kabel-ip20-kivitel-6-vedoerintkezos-aljzat-max-3500w-fekete-nv-6-3-bk-1-5-17144","https://www.somogyi.hu/product/home-nv-6-3-bk-1-5-halozati-eloszto-3-m-h05vv-f-3g1-5-mm2-kabel-ip20-kivitel-6-vedoerintkezos-aljzat-max-3500w-fekete-nv-6-3-bk-1-5-17144")</f>
        <v>0.0</v>
      </c>
      <c r="E977" s="7" t="n">
        <f>HYPERLINK("https://www.somogyi.hu/data/img/product_main_images/small/17144.jpg","https://www.somogyi.hu/data/img/product_main_images/small/17144.jpg")</f>
        <v>0.0</v>
      </c>
      <c r="F977" s="2" t="inlineStr">
        <is>
          <t>5999084951764</t>
        </is>
      </c>
      <c r="G977" s="4" t="inlineStr">
        <is>
          <t>Az NV 6-3/BK/1,5 Hálózati elosztó fekete színű, 6 db aljzattal és 3 m hosszú H05VV-F 3G1,5 mm2 kábellel felszerelt. A biztonságos használat érdekében gyermekvédelemmel ellátott. Maximum 3500 W-ig terhelhető.
Vásároljon megbízható hálózati elosztót és oldja meg egyszerűen elektromos eszközei tápellátását egy helyről.</t>
        </is>
      </c>
    </row>
    <row r="978">
      <c r="A978" s="3" t="inlineStr">
        <is>
          <t>NV 5-3/WH/1,5</t>
        </is>
      </c>
      <c r="B978" s="2" t="inlineStr">
        <is>
          <t>Home NV 5-3/WH/1,5 hálózati elosztó, 3 m, H05VV-F 3G1,5 mm2 kábel,  IP20 kivitel, 5 védőérintkezős aljzat, max. 3500W, fehér</t>
        </is>
      </c>
      <c r="C978" s="1" t="n">
        <v>3190.0</v>
      </c>
      <c r="D978" s="7" t="n">
        <f>HYPERLINK("https://www.somogyi.hu/product/home-nv-5-3-wh-1-5-halozati-eloszto-3-m-h05vv-f-3g1-5-mm2-kabel-ip20-kivitel-5-vedoerintkezos-aljzat-max-3500w-feher-nv-5-3-wh-1-5-17143","https://www.somogyi.hu/product/home-nv-5-3-wh-1-5-halozati-eloszto-3-m-h05vv-f-3g1-5-mm2-kabel-ip20-kivitel-5-vedoerintkezos-aljzat-max-3500w-feher-nv-5-3-wh-1-5-17143")</f>
        <v>0.0</v>
      </c>
      <c r="E978" s="7" t="n">
        <f>HYPERLINK("https://www.somogyi.hu/data/img/product_main_images/small/17143.jpg","https://www.somogyi.hu/data/img/product_main_images/small/17143.jpg")</f>
        <v>0.0</v>
      </c>
      <c r="F978" s="2" t="inlineStr">
        <is>
          <t>5999084951757</t>
        </is>
      </c>
      <c r="G978" s="4" t="inlineStr">
        <is>
          <t>Az NV 5-3/WH/1,5 Hálózati elosztó fehér színű, 5 db aljzattal és 3 m hosszú H05VV-F 3G1,5 mm2 kábellel felszerelt. A biztonságos használat érdekében gyermekvédelemmel ellátott. Maximum 3500 W-ig terhelhető.
Vásároljon megbízható hálózati elosztót és oldja meg egyszerűen elektromos eszközei tápellátását egy helyről.</t>
        </is>
      </c>
    </row>
    <row r="979">
      <c r="A979" s="3" t="inlineStr">
        <is>
          <t>NV 5K/WH</t>
        </is>
      </c>
      <c r="B979" s="2" t="inlineStr">
        <is>
          <t>Home NV 5K/WH hálózati elosztó, 1,5 m, H05VV-F 3G1,0 mm2 kábel, kétpólusú kapcsoló, IP20 kivitel, 5 védőérintkezős aljzat, max. 3500W, fehér</t>
        </is>
      </c>
      <c r="C979" s="1" t="n">
        <v>2290.0</v>
      </c>
      <c r="D979" s="7" t="n">
        <f>HYPERLINK("https://www.somogyi.hu/product/home-nv-5k-wh-halozati-eloszto-1-5-m-h05vv-f-3g1-0-mm2-kabel-ketpolusu-kapcsolo-ip20-kivitel-5-vedoerintkezos-aljzat-max-3500w-feher-nv-5k-wh-16823","https://www.somogyi.hu/product/home-nv-5k-wh-halozati-eloszto-1-5-m-h05vv-f-3g1-0-mm2-kabel-ketpolusu-kapcsolo-ip20-kivitel-5-vedoerintkezos-aljzat-max-3500w-feher-nv-5k-wh-16823")</f>
        <v>0.0</v>
      </c>
      <c r="E979" s="7" t="n">
        <f>HYPERLINK("https://www.somogyi.hu/data/img/product_main_images/small/16823.jpg","https://www.somogyi.hu/data/img/product_main_images/small/16823.jpg")</f>
        <v>0.0</v>
      </c>
      <c r="F979" s="2" t="inlineStr">
        <is>
          <t>5999084948559</t>
        </is>
      </c>
      <c r="G979" s="4" t="inlineStr">
        <is>
          <t>Az NV 5K/WH Kapcsolós hálózati elosztó 5 db aljzattal ellátott, melyet egy fő kapcsolóval áramtalanítani tud. A biztonságos használat érdekében IP 20 védelemmel és gyermekvédelemmel ellátott. A fehér színű elosztó 1,5 m hosszú H05VV-F 3G1,0 mm2 kábellel felszerelt. Maximum 3500 W-ig terhelhető. 
Vásároljon megbízható hálózati elosztót!</t>
        </is>
      </c>
    </row>
    <row r="980">
      <c r="A980" s="3" t="inlineStr">
        <is>
          <t>NV 6/WH</t>
        </is>
      </c>
      <c r="B980" s="2" t="inlineStr">
        <is>
          <t>Home NV 6/WH hálózati elosztó, 1,5 m, H05VV-F 3G1,0 mm2 kábel, IP20 kivitel, 6 védőérintkezős aljzat, max. 3500W, fehér</t>
        </is>
      </c>
      <c r="C980" s="1" t="n">
        <v>2190.0</v>
      </c>
      <c r="D980" s="7" t="n">
        <f>HYPERLINK("https://www.somogyi.hu/product/home-nv-6-wh-halozati-eloszto-1-5-m-h05vv-f-3g1-0-mm2-kabel-ip20-kivitel-6-vedoerintkezos-aljzat-max-3500w-feher-nv-6-wh-16826","https://www.somogyi.hu/product/home-nv-6-wh-halozati-eloszto-1-5-m-h05vv-f-3g1-0-mm2-kabel-ip20-kivitel-6-vedoerintkezos-aljzat-max-3500w-feher-nv-6-wh-16826")</f>
        <v>0.0</v>
      </c>
      <c r="E980" s="7" t="n">
        <f>HYPERLINK("https://www.somogyi.hu/data/img/product_main_images/small/16826.jpg","https://www.somogyi.hu/data/img/product_main_images/small/16826.jpg")</f>
        <v>0.0</v>
      </c>
      <c r="F980" s="2" t="inlineStr">
        <is>
          <t>5999084948580</t>
        </is>
      </c>
      <c r="G980" s="4" t="inlineStr">
        <is>
          <t>Az NV 6/WH Hálózati elosztó fehér színű, 6 db aljzattal és 1,5 m hosszú H05VV-F 3G1,0 mm2 kábellel felszerelt. A biztonságos használat érdekében gyermekvédelemmel ellátott. Maximum 3500 W-ig terhelhető.
Vásároljon megbízható hálózati elosztót és oldja meg egyszerűen elektromos eszközei tápellátását egy helyről.</t>
        </is>
      </c>
    </row>
    <row r="981">
      <c r="A981" s="3" t="inlineStr">
        <is>
          <t>NV 4/WH</t>
        </is>
      </c>
      <c r="B981" s="2" t="inlineStr">
        <is>
          <t>Home NV 4/WH hálózati elosztó, 1,5 m, H05VV-F 3G1,0 mm2 kábel, IP20 kivitel, 4 védőérintkezős aljzat, max. 3500W, fehér</t>
        </is>
      </c>
      <c r="C981" s="1" t="n">
        <v>1750.0</v>
      </c>
      <c r="D981" s="7" t="n">
        <f>HYPERLINK("https://www.somogyi.hu/product/home-nv-4-wh-halozati-eloszto-1-5-m-h05vv-f-3g1-0-mm2-kabel-ip20-kivitel-4-vedoerintkezos-aljzat-max-3500w-feher-nv-4-wh-16817","https://www.somogyi.hu/product/home-nv-4-wh-halozati-eloszto-1-5-m-h05vv-f-3g1-0-mm2-kabel-ip20-kivitel-4-vedoerintkezos-aljzat-max-3500w-feher-nv-4-wh-16817")</f>
        <v>0.0</v>
      </c>
      <c r="E981" s="7" t="n">
        <f>HYPERLINK("https://www.somogyi.hu/data/img/product_main_images/small/16817.jpg","https://www.somogyi.hu/data/img/product_main_images/small/16817.jpg")</f>
        <v>0.0</v>
      </c>
      <c r="F981" s="2" t="inlineStr">
        <is>
          <t>5999084948498</t>
        </is>
      </c>
      <c r="G981" s="4" t="inlineStr">
        <is>
          <t>Az NV 4/WH Hálózati elosztó fehér színű, 4 db aljzattal és 1,5 m hosszú H05VV-F 3G1,0 mm2 kábellel felszerelt. A biztonságos használat érdekében gyermekvédelemmel ellátott. Maximum 3500 W-ig terhelhető.
Vásároljon megbízható hálózati elosztót és oldja meg egyszerűen elektromos eszközei tápellátását egy helyről.</t>
        </is>
      </c>
    </row>
    <row r="982">
      <c r="A982" s="3" t="inlineStr">
        <is>
          <t>NV 04TK/WH</t>
        </is>
      </c>
      <c r="B982" s="2" t="inlineStr">
        <is>
          <t>Home NV 04TK/WH talpkapcsolós elosztó világító kapcsolóval, 1,5 m, H05VV-F 3G1,0 mm2 kábel, 4 aljzat gyermekvédelemmel, max. 3500W, fehér</t>
        </is>
      </c>
      <c r="C982" s="1" t="n">
        <v>3390.0</v>
      </c>
      <c r="D982" s="7" t="n">
        <f>HYPERLINK("https://www.somogyi.hu/product/home-nv-04tk-wh-talpkapcsolos-eloszto-vilagito-kapcsoloval-1-5-m-h05vv-f-3g1-0-mm2-kabel-4-aljzat-gyermekvedelemmel-max-3500w-feher-nv-04tk-wh-15375","https://www.somogyi.hu/product/home-nv-04tk-wh-talpkapcsolos-eloszto-vilagito-kapcsoloval-1-5-m-h05vv-f-3g1-0-mm2-kabel-4-aljzat-gyermekvedelemmel-max-3500w-feher-nv-04tk-wh-15375")</f>
        <v>0.0</v>
      </c>
      <c r="E982" s="7" t="n">
        <f>HYPERLINK("https://www.somogyi.hu/data/img/product_main_images/small/15375.jpg","https://www.somogyi.hu/data/img/product_main_images/small/15375.jpg")</f>
        <v>0.0</v>
      </c>
      <c r="F982" s="2" t="inlineStr">
        <is>
          <t>5999084934095</t>
        </is>
      </c>
      <c r="G982" s="4" t="inlineStr">
        <is>
          <t>NV 04TK/WH típusú talpkapcsolós elosztó világító kapcsolóval van ellátva. A négy aljzathoz 1,5 méteres kábel tartozik. A termék előnye, hogy a negyedik aljzat külön található, hogy kényelmesen elférjen pl. egy adapter. Válassza a minőségi termékeket és rendeljen webáruházunkból!</t>
        </is>
      </c>
    </row>
    <row r="983">
      <c r="A983" s="3" t="inlineStr">
        <is>
          <t>PNV 06K/WH</t>
        </is>
      </c>
      <c r="B983" s="2" t="inlineStr">
        <is>
          <t>Home PNV 06K/WH hálózati elosztó, 2 m, H05VV-F 3G1,0 mm2 kábel, kapcsolós, IP20 kivitel, 6 aljzat gyermekvédelemmel, max. 3500W, fehér, felakasztható</t>
        </is>
      </c>
      <c r="C983" s="1" t="n">
        <v>4090.0</v>
      </c>
      <c r="D983" s="7" t="n">
        <f>HYPERLINK("https://www.somogyi.hu/product/home-pnv-06k-wh-halozati-eloszto-2-m-h05vv-f-3g1-0-mm2-kabel-kapcsolos-ip20-kivitel-6-aljzat-gyermekvedelemmel-max-3500w-feher-felakaszthato-pnv-06k-wh-8743","https://www.somogyi.hu/product/home-pnv-06k-wh-halozati-eloszto-2-m-h05vv-f-3g1-0-mm2-kabel-kapcsolos-ip20-kivitel-6-aljzat-gyermekvedelemmel-max-3500w-feher-felakaszthato-pnv-06k-wh-8743")</f>
        <v>0.0</v>
      </c>
      <c r="E983" s="7" t="n">
        <f>HYPERLINK("https://www.somogyi.hu/data/img/product_main_images/small/08743.jpg","https://www.somogyi.hu/data/img/product_main_images/small/08743.jpg")</f>
        <v>0.0</v>
      </c>
      <c r="F983" s="2" t="inlineStr">
        <is>
          <t>5998312776261</t>
        </is>
      </c>
      <c r="G983" s="4" t="inlineStr">
        <is>
          <t>Szeretné növelni otthoni vagy irodai áramellátási lehetőségeit biztonságosan és kényelmesen? A Home PNV 06K/WH hálózati elosztó a tökéletes megoldás, amely hat gyermekvédelemmel ellátott aljzattal rendelkezik, így biztonságban tudhatja családját.
Ez a hálózati elosztó H05VV-F 3G1,0 mm² típusú kábellel van felszerelve, melynek hossza 2 méter, így rugalmasságot biztosít az elhelyezésben. Az IP20 kivitel és a 250V~/16A/3500W teljesítmény garantálja a megbízható működést és a hosszú élettartamot. A felakasztható keret lehetővé teszi az egyszerű tárolást és hozzáférést, amikor csak szüksége van rá.
A fehér szín elegáns megjelenést biztosít, amely minden környezetbe jól illeszkedik. A Home PNV 04K/WH hálózati elosztóval többé nem kell aggódnia a konnektorok hiánya miatt, és biztos lehet benne, hogy készülékei mindig elérhetőek és használatra készek lesznek.
Ne habozzon, válassza a Home PNV 06K/WH hálózati elosztót, és élvezze a biztonságos és praktikus áramellátást minden nap!</t>
        </is>
      </c>
    </row>
    <row r="984">
      <c r="A984" s="3" t="inlineStr">
        <is>
          <t>NVE 3/USB</t>
        </is>
      </c>
      <c r="B984" s="2" t="inlineStr">
        <is>
          <t>Home NVE 3/USB süllyesztett elosztó USB töltőaljzatokkal, 1,4 m, 3 földelt aljzat gyermekvédelemmel, asztalba, munkalapba építhető, süllyeszthető, max. 3680 W</t>
        </is>
      </c>
      <c r="C984" s="1" t="n">
        <v>9890.0</v>
      </c>
      <c r="D984" s="7" t="n">
        <f>HYPERLINK("https://www.somogyi.hu/product/home-nve-3-usb-sullyesztett-eloszto-usb-toltoaljzatokkal-1-4-m-3-foldelt-aljzat-gyermekvedelemmel-asztalba-munkalapba-epitheto-sullyesztheto-max-3680-w-nve-3-usb-17551","https://www.somogyi.hu/product/home-nve-3-usb-sullyesztett-eloszto-usb-toltoaljzatokkal-1-4-m-3-foldelt-aljzat-gyermekvedelemmel-asztalba-munkalapba-epitheto-sullyesztheto-max-3680-w-nve-3-usb-17551")</f>
        <v>0.0</v>
      </c>
      <c r="E984" s="7" t="n">
        <f>HYPERLINK("https://www.somogyi.hu/data/img/product_main_images/small/17551.jpg","https://www.somogyi.hu/data/img/product_main_images/small/17551.jpg")</f>
        <v>0.0</v>
      </c>
      <c r="F984" s="2" t="inlineStr">
        <is>
          <t>5999084955731</t>
        </is>
      </c>
      <c r="G984" s="4" t="inlineStr">
        <is>
          <t>Az NVE 3/USB Süllyesztett elosztó 3 db földelt aljzattal és 2 db USB töltőaljzattal ellátott, amely gyermekvédelemmel felszerelt. A modern konyhák, irodák elengedhetetlen eszköze, mivel asztalba, munkalapba építhető, süllyeszthető. 
A kábel hossza 1,4 m.
Ha nem kívánja használni az elosztót csak nyomja vissza a munkalapba, így nem koszolódik és letisztult képet mutat az otthonában vagy az irodában.</t>
        </is>
      </c>
    </row>
    <row r="985">
      <c r="A985" s="3" t="inlineStr">
        <is>
          <t>PNV 04K/WH</t>
        </is>
      </c>
      <c r="B985" s="2" t="inlineStr">
        <is>
          <t>Home PNV 04K/WH hálózati elosztó, 2 m, H05VV-F 3G1,0 mm2 kábel, kapcsolós, IP20 kivitel, 4 aljzat gyermekvédelemmel, max. 3500W, fehér, felakasztható</t>
        </is>
      </c>
      <c r="C985" s="1" t="n">
        <v>2990.0</v>
      </c>
      <c r="D985" s="7" t="n">
        <f>HYPERLINK("https://www.somogyi.hu/product/home-pnv-04k-wh-halozati-eloszto-2-m-h05vv-f-3g1-0-mm2-kabel-kapcsolos-ip20-kivitel-4-aljzat-gyermekvedelemmel-max-3500w-feher-felakaszthato-pnv-04k-wh-8741","https://www.somogyi.hu/product/home-pnv-04k-wh-halozati-eloszto-2-m-h05vv-f-3g1-0-mm2-kabel-kapcsolos-ip20-kivitel-4-aljzat-gyermekvedelemmel-max-3500w-feher-felakaszthato-pnv-04k-wh-8741")</f>
        <v>0.0</v>
      </c>
      <c r="E985" s="7" t="n">
        <f>HYPERLINK("https://www.somogyi.hu/data/img/product_main_images/small/08741.jpg","https://www.somogyi.hu/data/img/product_main_images/small/08741.jpg")</f>
        <v>0.0</v>
      </c>
      <c r="F985" s="2" t="inlineStr">
        <is>
          <t>5998312776247</t>
        </is>
      </c>
      <c r="G985" s="4" t="inlineStr">
        <is>
          <t>Szeretné növelni otthoni vagy irodai áramellátási lehetőségeit biztonságosan és kényelmesen? A Home PNV 04K/WH hálózati elosztó a tökéletes megoldás, amely négy gyermekvédelemmel ellátott aljzattal rendelkezik, így biztonságban tudhatja családját.
Ez a hálózati elosztó H05VV-F 3G1,0 mm² típusú kábellel van felszerelve, melynek hossza 2 méter, így rugalmasságot biztosít az elhelyezésben. Az IP20 kivitel és a 250V~/16A/3500W teljesítmény garantálja a megbízható működést és a hosszú élettartamot. A felakasztható keret lehetővé teszi az egyszerű tárolást és hozzáférést, amikor csak szüksége van rá.
A fehér szín elegáns megjelenést biztosít, amely minden környezetbe jól illeszkedik. A Home PNV 04K/WH hálózati elosztóval többé nem kell aggódnia a konnektorok hiánya miatt, és biztos lehet benne, hogy készülékei mindig elérhetőek és használatra készek lesznek.
Ne habozzon, válassza a Home PNV 04K/WH hálózati elosztót, és élvezze a biztonságos és praktikus áramellátást minden nap!</t>
        </is>
      </c>
    </row>
    <row r="986">
      <c r="A986" s="3" t="inlineStr">
        <is>
          <t>NV 6K-3/GR/1,5</t>
        </is>
      </c>
      <c r="B986" s="2" t="inlineStr">
        <is>
          <t>Home NV 6K-3/GR/1,5 hálózati elosztó, 3 m, H05VV-F 3G1,5 mm2 kábel, kétpólusú kapcsoló, IP20 kivitel, 6 védőérintkezős aljzat, max. 3500W, zöld</t>
        </is>
      </c>
      <c r="C986" s="1" t="n">
        <v>3590.0</v>
      </c>
      <c r="D986" s="7" t="n">
        <f>HYPERLINK("https://www.somogyi.hu/product/home-nv-6k-3-gr-1-5-halozati-eloszto-3-m-h05vv-f-3g1-5-mm2-kabel-ketpolusu-kapcsolo-ip20-kivitel-6-vedoerintkezos-aljzat-max-3500w-zold-nv-6k-3-gr-1-5-17139","https://www.somogyi.hu/product/home-nv-6k-3-gr-1-5-halozati-eloszto-3-m-h05vv-f-3g1-5-mm2-kabel-ketpolusu-kapcsolo-ip20-kivitel-6-vedoerintkezos-aljzat-max-3500w-zold-nv-6k-3-gr-1-5-17139")</f>
        <v>0.0</v>
      </c>
      <c r="E986" s="7" t="n">
        <f>HYPERLINK("https://www.somogyi.hu/data/img/product_main_images/small/17139.jpg","https://www.somogyi.hu/data/img/product_main_images/small/17139.jpg")</f>
        <v>0.0</v>
      </c>
      <c r="F986" s="2" t="inlineStr">
        <is>
          <t>5999084951719</t>
        </is>
      </c>
      <c r="G986" s="4" t="inlineStr">
        <is>
          <t>Az NV 6K-3/GR/1,5 Kapcsolós hálózati elosztó 6 db aljzattal ellátott, melyet egy fő kapcsolóval áramtalanítani tud. A biztonságos használat érdekében IP 20 védelemmel és gyermekvédelemmel ellátott. A zöld színű elosztó 3 m hosszú H05VV-F 3G1,5 mm2 kábellel felszerelt. Maximum 3500 W-ig terhelhető. 
Vásároljon megbízható hálózati elosztót!</t>
        </is>
      </c>
    </row>
    <row r="987">
      <c r="A987" s="3" t="inlineStr">
        <is>
          <t>NVT 4K-3/BK</t>
        </is>
      </c>
      <c r="B987" s="2" t="inlineStr">
        <is>
          <t>Home NVT 4K-3/BK túlfeszültségvédett hálózati elosztó, 3 m, H05VV-F 3G1,5 mm2 kábel, 4 aljzat gyermekvédelemmel, kapcsoló, felakasztható, max. 3680W, fekete</t>
        </is>
      </c>
      <c r="C987" s="1" t="n">
        <v>6590.0</v>
      </c>
      <c r="D987" s="7" t="n">
        <f>HYPERLINK("https://www.somogyi.hu/product/home-nvt-4k-3-bk-tulfeszultsegvedett-halozati-eloszto-3-m-h05vv-f-3g1-5-mm2-kabel-4-aljzat-gyermekvedelemmel-kapcsolo-felakaszthato-max-3680w-fekete-nvt-4k-3-bk-17069","https://www.somogyi.hu/product/home-nvt-4k-3-bk-tulfeszultsegvedett-halozati-eloszto-3-m-h05vv-f-3g1-5-mm2-kabel-4-aljzat-gyermekvedelemmel-kapcsolo-felakaszthato-max-3680w-fekete-nvt-4k-3-bk-17069")</f>
        <v>0.0</v>
      </c>
      <c r="E987" s="7" t="n">
        <f>HYPERLINK("https://www.somogyi.hu/data/img/product_main_images/small/17069.jpg","https://www.somogyi.hu/data/img/product_main_images/small/17069.jpg")</f>
        <v>0.0</v>
      </c>
      <c r="F987" s="2" t="inlineStr">
        <is>
          <t>5999084951016</t>
        </is>
      </c>
      <c r="G987" s="4" t="inlineStr">
        <is>
          <t>Gondolta már, hogy egy egyszerű hálózati elosztó is lehet kulcsa készülékei biztonságának?
A Home NVT 4K-3/BK túlfeszültségvédett hálózati elosztó nemcsak több készülék csatlakoztatását teszi lehetővé, hanem megbízható védelmet is nyújt a háztartási eszközök számára túlfeszültség esetén. A 4 aljzattal ellátott elosztó védőzsaluval rendelkezik, így a gyermekek biztonságát is garantálja. A túlfeszültségvédelem akár 3 kV-ig védi a csatlakoztatott eszközöket, megelőzve a károsodást váratlan áramingadozások esetén.
Kiemelkedő funkciók és biztonság
Ez a fekete színű, modern megjelenésű elosztó felakasztható vagy kábelkötegelővel rögzíthető, így könnyedén elhelyezhető akár a falon, akár az íróasztal alatt. A világító főkapcsolóval egyszerűen ki- és bekapcsolható, ami nemcsak kényelmes, hanem energiatakarékos megoldás is. A túlfeszültségvédelemnek köszönhetően nyugodtan csatlakoztathat hozzá érzékeny elektronikai eszközöket, például számítógépeket, televíziókat vagy házimozi-rendszereket.
Részletes specifikációk
- Aljzatok száma: 4 db, védőzsaluval ellátott aljzatok
- Túlfeszültségvédelem: Akár 3 kV-ig, hatékony védelem túlfeszültség ellen
- Kábelhossz: 3 méter
- Kábel típusa: H05VV-F 3G1,5 mm²
- Maximális teljesítmény: 3680 W
- Névleges feszültség: 230 V~ / 50 Hz / 16 A
- Kialakítás: Felakasztható vagy kábelkötegelővel rögzíthető
- Szín: Fekete
Miért válassza ezt az elosztót?
A túlfeszültségvédett elosztók különösen fontosak, ha nagy értékű elektromos készülékeket használ. A Home NVT 4K-3/BK elosztó nemcsak védi az eszközeit, hanem praktikus kialakításának köszönhetően könnyedén beilleszthető bármilyen környezetbe. Az egyszerű telepíthetőség, a hosszú, 3 méteres kábel és a modern design garantálja, hogy ez a termék minden elvárásnak megfeleljen.
Válassza a megbízható, biztonságos és stílusos megoldást a mindennapok kényelme érdekében! A Home NVT 4K-3/BK túlfeszültségvédett hálózati elosztóval készülékei mindig biztonságban lesznek, Ön pedig nyugodtan élvezheti a zavartalan használatot.</t>
        </is>
      </c>
    </row>
    <row r="988">
      <c r="A988" s="3" t="inlineStr">
        <is>
          <t>NVP 06K/WH</t>
        </is>
      </c>
      <c r="B988" s="2" t="inlineStr">
        <is>
          <t>Home NVP 06K/WH túlfeszültség védett hálózati elosztó, 2 m, kapcsolós, H05VV-F 3G1,5 mm2 kábel, IP20 kivitel, 6 aljzat, max. 3500W, falra akasztható</t>
        </is>
      </c>
      <c r="C988" s="1" t="n">
        <v>5690.0</v>
      </c>
      <c r="D988" s="7" t="n">
        <f>HYPERLINK("https://www.somogyi.hu/product/home-nvp-06k-wh-tulfeszultseg-vedett-halozati-eloszto-2-m-kapcsolos-h05vv-f-3g1-5-mm2-kabel-ip20-kivitel-6-aljzat-max-3500w-falra-akaszthato-nvp-06k-wh-8490","https://www.somogyi.hu/product/home-nvp-06k-wh-tulfeszultseg-vedett-halozati-eloszto-2-m-kapcsolos-h05vv-f-3g1-5-mm2-kabel-ip20-kivitel-6-aljzat-max-3500w-falra-akaszthato-nvp-06k-wh-8490")</f>
        <v>0.0</v>
      </c>
      <c r="E988" s="7" t="n">
        <f>HYPERLINK("https://www.somogyi.hu/data/img/product_main_images/small/08490.jpg","https://www.somogyi.hu/data/img/product_main_images/small/08490.jpg")</f>
        <v>0.0</v>
      </c>
      <c r="F988" s="2" t="inlineStr">
        <is>
          <t>5998312773888</t>
        </is>
      </c>
      <c r="G988" s="4" t="inlineStr">
        <is>
          <t>Ügyeljen a biztonságra és keresse a túlfeszültségvédett hálózati elosztókat! Az NVP 06K/WH egy 2 méteres kábellel, valamint 6 aljzattal rendelkezik. A H05VV-F 3G1,5 mm²-es kábel IP20-as kivitelben készült. Az elosztó alkalmas a háztartási készülékek védelmére, továbbá 4500 A-ig túlfeszültségvédett. A termék további előnye, hogy kapcsolóval és gyermekvédelemmel ellátott. A könnyed használat érdekében falra felakasztható kivitelben kapható. Felhasználhatósága: 250 V / 50 HZ / 16 A / 3500 W. Válassza a minőségi termékeket és rendeljen webáruházunkból.</t>
        </is>
      </c>
    </row>
    <row r="989">
      <c r="A989" s="3" t="inlineStr">
        <is>
          <t>NV 5/WH</t>
        </is>
      </c>
      <c r="B989" s="2" t="inlineStr">
        <is>
          <t>Home NV 5/WH hálózati elosztó, 1,5 m, H05VV-F 3G1,0 mm2 kábel, IP20 kivitel, 5 védőérintkezős aljzat, max. 3500W, fehér</t>
        </is>
      </c>
      <c r="C989" s="1" t="n">
        <v>1990.0</v>
      </c>
      <c r="D989" s="7" t="n">
        <f>HYPERLINK("https://www.somogyi.hu/product/home-nv-5-wh-halozati-eloszto-1-5-m-h05vv-f-3g1-0-mm2-kabel-ip20-kivitel-5-vedoerintkezos-aljzat-max-3500w-feher-nv-5-wh-16821","https://www.somogyi.hu/product/home-nv-5-wh-halozati-eloszto-1-5-m-h05vv-f-3g1-0-mm2-kabel-ip20-kivitel-5-vedoerintkezos-aljzat-max-3500w-feher-nv-5-wh-16821")</f>
        <v>0.0</v>
      </c>
      <c r="E989" s="7" t="n">
        <f>HYPERLINK("https://www.somogyi.hu/data/img/product_main_images/small/16821.jpg","https://www.somogyi.hu/data/img/product_main_images/small/16821.jpg")</f>
        <v>0.0</v>
      </c>
      <c r="F989" s="2" t="inlineStr">
        <is>
          <t>5999084948535</t>
        </is>
      </c>
      <c r="G989" s="4" t="inlineStr">
        <is>
          <t>Az NV 5/WH Hálózati elosztó fehér színű, 5 db aljzattal és 1,5 m hosszú H05VV-F 3G1,0 mm2 kábellel felszerelt. A biztonságos használat érdekében gyermekvédelemmel ellátott. Maximum 3500 W-ig terhelhető.
Vásároljon megbízható hálózati elosztót és oldja meg egyszerűen elektromos eszközei tápellátását egy helyről.</t>
        </is>
      </c>
    </row>
    <row r="990">
      <c r="A990" s="3" t="inlineStr">
        <is>
          <t>NV 3-3/WH/1,5</t>
        </is>
      </c>
      <c r="B990" s="2" t="inlineStr">
        <is>
          <t>Home NV 3-3/WH/1,5 hálózati elosztó, 3 m, H05VV-F 3G1,5 mm2 kábel,  IP20 kivitel, 3 védőérintkezős aljzat, max. 3500W, fehér</t>
        </is>
      </c>
      <c r="C990" s="1" t="n">
        <v>2890.0</v>
      </c>
      <c r="D990" s="7" t="n">
        <f>HYPERLINK("https://www.somogyi.hu/product/home-nv-3-3-wh-1-5-halozati-eloszto-3-m-h05vv-f-3g1-5-mm2-kabel-ip20-kivitel-3-vedoerintkezos-aljzat-max-3500w-feher-nv-3-3-wh-1-5-16802","https://www.somogyi.hu/product/home-nv-3-3-wh-1-5-halozati-eloszto-3-m-h05vv-f-3g1-5-mm2-kabel-ip20-kivitel-3-vedoerintkezos-aljzat-max-3500w-feher-nv-3-3-wh-1-5-16802")</f>
        <v>0.0</v>
      </c>
      <c r="E990" s="7" t="n">
        <f>HYPERLINK("https://www.somogyi.hu/data/img/product_main_images/small/16802.jpg","https://www.somogyi.hu/data/img/product_main_images/small/16802.jpg")</f>
        <v>0.0</v>
      </c>
      <c r="F990" s="2" t="inlineStr">
        <is>
          <t>5999084948344</t>
        </is>
      </c>
      <c r="G990" s="4" t="inlineStr">
        <is>
          <t>Az NV 3-3/WH/1,5 Hálózati elosztó fehér színű, 3 db aljzattal és 3 m hosszú H05VV-F 3G1,5 mm2 kábellel felszerelt. A biztonságos használat érdekében gyermekvédelemmel ellátott. Maximum 3500 W-ig terhelhető.
Vásároljon megbízható hálózati elosztót és oldja meg egyszerűen elektromos eszközei tápellátását egy helyről.</t>
        </is>
      </c>
    </row>
    <row r="991">
      <c r="A991" s="3" t="inlineStr">
        <is>
          <t>NV 6K-5/GR/1,5</t>
        </is>
      </c>
      <c r="B991" s="2" t="inlineStr">
        <is>
          <t>Home NV 6K-5/GR/1,5 hálózati elosztó, 5 m, H05VV-F 3G1,5 mm2 kábel, kétpólusú kapcsoló, IP20 kivitel, 6 védőérintkezős aljzat, max. 3500W, zöld</t>
        </is>
      </c>
      <c r="C991" s="1" t="n">
        <v>4790.0</v>
      </c>
      <c r="D991" s="7" t="n">
        <f>HYPERLINK("https://www.somogyi.hu/product/home-nv-6k-5-gr-1-5-halozati-eloszto-5-m-h05vv-f-3g1-5-mm2-kabel-ketpolusu-kapcsolo-ip20-kivitel-6-vedoerintkezos-aljzat-max-3500w-zold-nv-6k-5-gr-1-5-17140","https://www.somogyi.hu/product/home-nv-6k-5-gr-1-5-halozati-eloszto-5-m-h05vv-f-3g1-5-mm2-kabel-ketpolusu-kapcsolo-ip20-kivitel-6-vedoerintkezos-aljzat-max-3500w-zold-nv-6k-5-gr-1-5-17140")</f>
        <v>0.0</v>
      </c>
      <c r="E991" s="7" t="n">
        <f>HYPERLINK("https://www.somogyi.hu/data/img/product_main_images/small/17140.jpg","https://www.somogyi.hu/data/img/product_main_images/small/17140.jpg")</f>
        <v>0.0</v>
      </c>
      <c r="F991" s="2" t="inlineStr">
        <is>
          <t>5999084951726</t>
        </is>
      </c>
      <c r="G991" s="4" t="inlineStr">
        <is>
          <t>Az NV 6K-5/GR/1,5 Kapcsolós hálózati elosztó 6 db aljzattal ellátott, melyet egy fő kapcsolóval áramtalanítani tud. A biztonságos használat érdekében IP 20 védelemmel és gyermekvédelemmel ellátott. A zöld színű elosztó 5 m hosszú H05VV-F 3G1,5 mm2 kábellel felszerelt. Maximum 3500 W-ig terhelhető. 
Vásároljon megbízható hálózati elosztót!</t>
        </is>
      </c>
    </row>
    <row r="992">
      <c r="A992" s="3" t="inlineStr">
        <is>
          <t>NV 3-3/BK/1,5</t>
        </is>
      </c>
      <c r="B992" s="2" t="inlineStr">
        <is>
          <t>Home NV 3-3/BK/1,5 hálózati elosztó, 3 m, H05VV-F 3G1,5 mm2 kábel,  IP20 kivitel, 3 védőérintkezős aljzat, max. 3500W, fekete</t>
        </is>
      </c>
      <c r="C992" s="1" t="n">
        <v>2890.0</v>
      </c>
      <c r="D992" s="7" t="n">
        <f>HYPERLINK("https://www.somogyi.hu/product/home-nv-3-3-bk-1-5-halozati-eloszto-3-m-h05vv-f-3g1-5-mm2-kabel-ip20-kivitel-3-vedoerintkezos-aljzat-max-3500w-fekete-nv-3-3-bk-1-5-17141","https://www.somogyi.hu/product/home-nv-3-3-bk-1-5-halozati-eloszto-3-m-h05vv-f-3g1-5-mm2-kabel-ip20-kivitel-3-vedoerintkezos-aljzat-max-3500w-fekete-nv-3-3-bk-1-5-17141")</f>
        <v>0.0</v>
      </c>
      <c r="E992" s="7" t="n">
        <f>HYPERLINK("https://www.somogyi.hu/data/img/product_main_images/small/17141.jpg","https://www.somogyi.hu/data/img/product_main_images/small/17141.jpg")</f>
        <v>0.0</v>
      </c>
      <c r="F992" s="2" t="inlineStr">
        <is>
          <t>5999084951733</t>
        </is>
      </c>
      <c r="G992" s="4" t="inlineStr">
        <is>
          <t>Az NV 3-3/BK/1,5 Hálózati elosztó fekete színű, 3 db aljzattal és 3 m hosszú H05VV-F 3G1,5 mm2 kábellel felszerelt. A biztonságos használat érdekében gyermekvédelemmel ellátott. Maximum 3500 W-ig terhelhető.
Vásároljon megbízható hálózati elosztót és oldja meg egyszerűen elektromos eszközei tápellátását egy helyről.</t>
        </is>
      </c>
    </row>
    <row r="993">
      <c r="A993" s="3" t="inlineStr">
        <is>
          <t>NV 4-3/WH/1,5</t>
        </is>
      </c>
      <c r="B993" s="2" t="inlineStr">
        <is>
          <t>Home NV 4-3/WH/1,5 hálózati elosztó, 3 m, H05VV-F 3G1,5 mm2 kábel, IP20 kivitel, 4 védőérintkezős aljzat, max. 3500W, fehér</t>
        </is>
      </c>
      <c r="C993" s="1" t="n">
        <v>2990.0</v>
      </c>
      <c r="D993" s="7" t="n">
        <f>HYPERLINK("https://www.somogyi.hu/product/home-nv-4-3-wh-1-5-halozati-eloszto-3-m-h05vv-f-3g1-5-mm2-kabel-ip20-kivitel-4-vedoerintkezos-aljzat-max-3500w-feher-nv-4-3-wh-1-5-17142","https://www.somogyi.hu/product/home-nv-4-3-wh-1-5-halozati-eloszto-3-m-h05vv-f-3g1-5-mm2-kabel-ip20-kivitel-4-vedoerintkezos-aljzat-max-3500w-feher-nv-4-3-wh-1-5-17142")</f>
        <v>0.0</v>
      </c>
      <c r="E993" s="7" t="n">
        <f>HYPERLINK("https://www.somogyi.hu/data/img/product_main_images/small/17142.jpg","https://www.somogyi.hu/data/img/product_main_images/small/17142.jpg")</f>
        <v>0.0</v>
      </c>
      <c r="F993" s="2" t="inlineStr">
        <is>
          <t>5999084951740</t>
        </is>
      </c>
      <c r="G993" s="4" t="inlineStr">
        <is>
          <t>Az NV 4-3/WH/1,5 hálózati elosztó fehér színű, 4 db aljzattal és 3 m hosszú H05VV-F 3G1,5 mm2 kábellel felszerelt. A biztonságos használat érdekében gyermekvédelemmel ellátott. Maximum 3500 W-ig terhelhető.
Vásároljon megbízható hálózati elosztót és oldja meg egyszerűen elektromos eszközei tápellátását egy helyről.</t>
        </is>
      </c>
    </row>
    <row r="994">
      <c r="A994" s="3" t="inlineStr">
        <is>
          <t>NV 6K-3/BK/1,5</t>
        </is>
      </c>
      <c r="B994" s="2" t="inlineStr">
        <is>
          <t>Home NV 6K-3/BK/1,5 hálózati elosztó, 3 m, H05VV-F 3G1,5 mm2 kábel, kétpólusú kapcsoló, IP20 kivitel, 6 védőérintkezős aljzat, max. 3500W, fekete</t>
        </is>
      </c>
      <c r="C994" s="1" t="n">
        <v>3590.0</v>
      </c>
      <c r="D994" s="7" t="n">
        <f>HYPERLINK("https://www.somogyi.hu/product/home-nv-6k-3-bk-1-5-halozati-eloszto-3-m-h05vv-f-3g1-5-mm2-kabel-ketpolusu-kapcsolo-ip20-kivitel-6-vedoerintkezos-aljzat-max-3500w-fekete-nv-6k-3-bk-1-5-17147","https://www.somogyi.hu/product/home-nv-6k-3-bk-1-5-halozati-eloszto-3-m-h05vv-f-3g1-5-mm2-kabel-ketpolusu-kapcsolo-ip20-kivitel-6-vedoerintkezos-aljzat-max-3500w-fekete-nv-6k-3-bk-1-5-17147")</f>
        <v>0.0</v>
      </c>
      <c r="E994" s="7" t="n">
        <f>HYPERLINK("https://www.somogyi.hu/data/img/product_main_images/small/17147.jpg","https://www.somogyi.hu/data/img/product_main_images/small/17147.jpg")</f>
        <v>0.0</v>
      </c>
      <c r="F994" s="2" t="inlineStr">
        <is>
          <t>5999084951795</t>
        </is>
      </c>
      <c r="G994" s="4" t="inlineStr">
        <is>
          <t>Az NV 6K-3/BK/1,5 Kapcsolós hálózati elosztó 6 db aljzattal ellátott, melyet egy fő kapcsolóval áramtalanítani tud. A biztonságos használat érdekében IP 20 védelemmel és gyermekvédelemmel ellátott. A fekete színű elosztó 3 m hosszú H05VV-F 3G1,5 mm2 kábellel felszerelt. Maximum 3500 W-ig terhelhető. 
Vásároljon megbízható hálózati elosztót!</t>
        </is>
      </c>
    </row>
    <row r="995">
      <c r="A995" s="3" t="inlineStr">
        <is>
          <t>NV 3K/BK</t>
        </is>
      </c>
      <c r="B995" s="2" t="inlineStr">
        <is>
          <t>Home NV 3K/BK hálózati elosztó, 1,5 m, H05VV-F 3G1,0 mm2 kábel, kétpólusú kapcsoló, IP20 kivitel, 3 védőérintkezős aljzat, max. 3500W, fekete</t>
        </is>
      </c>
      <c r="C995" s="1" t="n">
        <v>1890.0</v>
      </c>
      <c r="D995" s="7" t="n">
        <f>HYPERLINK("https://www.somogyi.hu/product/home-nv-3k-bk-halozati-eloszto-1-5-m-h05vv-f-3g1-0-mm2-kabel-ketpolusu-kapcsolo-ip20-kivitel-3-vedoerintkezos-aljzat-max-3500w-fekete-nv-3k-bk-16805","https://www.somogyi.hu/product/home-nv-3k-bk-halozati-eloszto-1-5-m-h05vv-f-3g1-0-mm2-kabel-ketpolusu-kapcsolo-ip20-kivitel-3-vedoerintkezos-aljzat-max-3500w-fekete-nv-3k-bk-16805")</f>
        <v>0.0</v>
      </c>
      <c r="E995" s="7" t="n">
        <f>HYPERLINK("https://www.somogyi.hu/data/img/product_main_images/small/16805.jpg","https://www.somogyi.hu/data/img/product_main_images/small/16805.jpg")</f>
        <v>0.0</v>
      </c>
      <c r="F995" s="2" t="inlineStr">
        <is>
          <t>5999084948375</t>
        </is>
      </c>
      <c r="G995" s="4" t="inlineStr">
        <is>
          <t>Az NV 3K/BK Kapcsolós hálózati elosztó 3 db aljzattal ellátott, melyet egy fő kapcsolóval áramtalanítani tud. A biztonságos használat érdekében IP 20 védelemmel és gyermekvédelemmel ellátott. A fekete színű elosztó 1,5 m hosszú H05VV-F 3G1,0 mm2 kábellel felszerelt. Maximum 3500 W-ig terhelhető.
Vásároljon megbízható hálózati elosztót!</t>
        </is>
      </c>
    </row>
    <row r="996">
      <c r="A996" s="3" t="inlineStr">
        <is>
          <t>NVK 03K-3/WH/1,5</t>
        </is>
      </c>
      <c r="B996" s="2" t="inlineStr">
        <is>
          <t>Home NVK 03K-3/WH/1,5 hálózati elosztó, 3 m, H05VV-F, 3G1,5 mm2 kábel, kapcsolós, 3 aljzat gyermekvédelemmel, max. 3500W, fehér</t>
        </is>
      </c>
      <c r="C996" s="1" t="n">
        <v>6590.0</v>
      </c>
      <c r="D996" s="7" t="n">
        <f>HYPERLINK("https://www.somogyi.hu/product/home-nvk-03k-3-wh-1-5-halozati-eloszto-3-m-h05vv-f-3g1-5-mm2-kabel-kapcsolos-3-aljzat-gyermekvedelemmel-max-3500w-feher-nvk-03k-3-wh-1-5-15326","https://www.somogyi.hu/product/home-nvk-03k-3-wh-1-5-halozati-eloszto-3-m-h05vv-f-3g1-5-mm2-kabel-kapcsolos-3-aljzat-gyermekvedelemmel-max-3500w-feher-nvk-03k-3-wh-1-5-15326")</f>
        <v>0.0</v>
      </c>
      <c r="E996" s="7" t="n">
        <f>HYPERLINK("https://www.somogyi.hu/data/img/product_main_images/small/15326.jpg","https://www.somogyi.hu/data/img/product_main_images/small/15326.jpg")</f>
        <v>0.0</v>
      </c>
      <c r="F996" s="2" t="inlineStr">
        <is>
          <t>5999084933609</t>
        </is>
      </c>
      <c r="G996" s="4" t="inlineStr">
        <is>
          <t>Az NVK 03K-3/WH/1,5 WH Kapcsolós hálózati elosztó 3 db aljzattal ellátott, melyeket külön aljzatonként tud kapcsolni, valamint az egész készüléket egy fő kapcsolóval is áramtalanítani lehet.  A biztonságos használat érdekében gyermekvédelemmel ellátott. Az elosztó 3 m hosszú H05VV-F 3G1,5 mm2 kábellel felszerelt. Maximum 3500 W-ig terhelhető.
Vásároljon megbízható hálózati elosztót, melyet egyéni igények szerint tud áramtalanítani.</t>
        </is>
      </c>
    </row>
    <row r="997">
      <c r="A997" s="3" t="inlineStr">
        <is>
          <t>NV 6-5/WH/1,5</t>
        </is>
      </c>
      <c r="B997" s="2" t="inlineStr">
        <is>
          <t>Home NV 6-5/WH/1,5 hálózati elosztó, 5 m, H05VV-F 3G1,5 mm2 kábel,  IP20 kivitel, 6 védőérintkezős aljzat, max. 3500W, fehér</t>
        </is>
      </c>
      <c r="C997" s="1" t="n">
        <v>4490.0</v>
      </c>
      <c r="D997" s="7" t="n">
        <f>HYPERLINK("https://www.somogyi.hu/product/home-nv-6-5-wh-1-5-halozati-eloszto-5-m-h05vv-f-3g1-5-mm2-kabel-ip20-kivitel-6-vedoerintkezos-aljzat-max-3500w-feher-nv-6-5-wh-1-5-16831","https://www.somogyi.hu/product/home-nv-6-5-wh-1-5-halozati-eloszto-5-m-h05vv-f-3g1-5-mm2-kabel-ip20-kivitel-6-vedoerintkezos-aljzat-max-3500w-feher-nv-6-5-wh-1-5-16831")</f>
        <v>0.0</v>
      </c>
      <c r="E997" s="7" t="n">
        <f>HYPERLINK("https://www.somogyi.hu/data/img/product_main_images/small/16831.jpg","https://www.somogyi.hu/data/img/product_main_images/small/16831.jpg")</f>
        <v>0.0</v>
      </c>
      <c r="F997" s="2" t="inlineStr">
        <is>
          <t>5999084948634</t>
        </is>
      </c>
      <c r="G997" s="4" t="inlineStr">
        <is>
          <t>Az NV 6-5/WH/1,5 Hálózati elosztó fehér színű, 6 db aljzattal és 5 m hosszú H05VV-F 3G1,5 mm2 kábellel felszerelt. A biztonságos használat érdekében gyermekvédelemmel ellátott. Maximum 3500 W-ig terhelhető.
Vásároljon megbízható hálózati elosztót és oldja meg egyszerűen elektromos eszközei tápellátását egy helyről.</t>
        </is>
      </c>
    </row>
    <row r="998">
      <c r="A998" s="3" t="inlineStr">
        <is>
          <t>NV 6K-5/WH/1,5</t>
        </is>
      </c>
      <c r="B998" s="2" t="inlineStr">
        <is>
          <t>Home NV 6K-5/WH/1,5 hálózati elosztó, 5 m, H05VV-F 3G1,5 mm2 kábel, kétpólusú kapcsoló, IP20 kivitel, 6 védőérintkezős aljzat, max. 3500W, fehér</t>
        </is>
      </c>
      <c r="C998" s="1" t="n">
        <v>4790.0</v>
      </c>
      <c r="D998" s="7" t="n">
        <f>HYPERLINK("https://www.somogyi.hu/product/home-nv-6k-5-wh-1-5-halozati-eloszto-5-m-h05vv-f-3g1-5-mm2-kabel-ketpolusu-kapcsolo-ip20-kivitel-6-vedoerintkezos-aljzat-max-3500w-feher-nv-6k-5-wh-1-5-16841","https://www.somogyi.hu/product/home-nv-6k-5-wh-1-5-halozati-eloszto-5-m-h05vv-f-3g1-5-mm2-kabel-ketpolusu-kapcsolo-ip20-kivitel-6-vedoerintkezos-aljzat-max-3500w-feher-nv-6k-5-wh-1-5-16841")</f>
        <v>0.0</v>
      </c>
      <c r="E998" s="7" t="n">
        <f>HYPERLINK("https://www.somogyi.hu/data/img/product_main_images/small/16841.jpg","https://www.somogyi.hu/data/img/product_main_images/small/16841.jpg")</f>
        <v>0.0</v>
      </c>
      <c r="F998" s="2" t="inlineStr">
        <is>
          <t>5999084948733</t>
        </is>
      </c>
      <c r="G998" s="4" t="inlineStr">
        <is>
          <t>Az NV 6K-5/WH/1,5 Kapcsolós hálózati elosztó 6 db aljzattal ellátott, melyet egy fő kapcsolóval áramtalanítani tud. A biztonságos használat érdekében IP 20 védelemmel és gyermekvédelemmel ellátott. A fehér színű elosztó 5 m hosszú H05VV-F 3G1,5 mm2 kábellel felszerelt. Maximum 3500 W-ig terhelhető. 
Vásároljon megbízható hálózati elosztót!</t>
        </is>
      </c>
    </row>
    <row r="999">
      <c r="A999" s="3" t="inlineStr">
        <is>
          <t>NV 6/BK</t>
        </is>
      </c>
      <c r="B999" s="2" t="inlineStr">
        <is>
          <t>Home NV 6/BK hálózati elosztó, 1,5 m, H05VV-F 3G1,0 mm2 kábel, IP20 kivitel, 6 védőérintkezős aljzat, max. 3500W, fekete</t>
        </is>
      </c>
      <c r="C999" s="1" t="n">
        <v>2190.0</v>
      </c>
      <c r="D999" s="7" t="n">
        <f>HYPERLINK("https://www.somogyi.hu/product/home-nv-6-bk-halozati-eloszto-1-5-m-h05vv-f-3g1-0-mm2-kabel-ip20-kivitel-6-vedoerintkezos-aljzat-max-3500w-fekete-nv-6-bk-16825","https://www.somogyi.hu/product/home-nv-6-bk-halozati-eloszto-1-5-m-h05vv-f-3g1-0-mm2-kabel-ip20-kivitel-6-vedoerintkezos-aljzat-max-3500w-fekete-nv-6-bk-16825")</f>
        <v>0.0</v>
      </c>
      <c r="E999" s="7" t="n">
        <f>HYPERLINK("https://www.somogyi.hu/data/img/product_main_images/small/16825.jpg","https://www.somogyi.hu/data/img/product_main_images/small/16825.jpg")</f>
        <v>0.0</v>
      </c>
      <c r="F999" s="2" t="inlineStr">
        <is>
          <t>5999084948573</t>
        </is>
      </c>
      <c r="G999" s="4" t="inlineStr">
        <is>
          <t>Az NV 6/BK Hálózati elosztó fekete színű, 6 db aljzattal és 1,5 m hosszú H05VV-F 3G1,0 mm2 kábellel felszerelt. A biztonságos használat érdekében gyermekvédelemmel ellátott. Maximum 3500 W-ig terhelhető.
Vásároljon megbízható hálózati elosztót és oldja meg egyszerűen elektromos eszközei tápellátását egy helyről.</t>
        </is>
      </c>
    </row>
    <row r="1000">
      <c r="A1000" s="3" t="inlineStr">
        <is>
          <t>NV 6-3/WH/1,5</t>
        </is>
      </c>
      <c r="B1000" s="2" t="inlineStr">
        <is>
          <t>Home NV 6-3/WH/1,5 hálózati elosztó, 3 m, H05VV-F 3G1,5 mm2 kábel,  IP20 kivitel, 6 védőérintkezős aljzat, max. 3500W, fehér</t>
        </is>
      </c>
      <c r="C1000" s="1" t="n">
        <v>3390.0</v>
      </c>
      <c r="D1000" s="7" t="n">
        <f>HYPERLINK("https://www.somogyi.hu/product/home-nv-6-3-wh-1-5-halozati-eloszto-3-m-h05vv-f-3g1-5-mm2-kabel-ip20-kivitel-6-vedoerintkezos-aljzat-max-3500w-feher-nv-6-3-wh-1-5-16829","https://www.somogyi.hu/product/home-nv-6-3-wh-1-5-halozati-eloszto-3-m-h05vv-f-3g1-5-mm2-kabel-ip20-kivitel-6-vedoerintkezos-aljzat-max-3500w-feher-nv-6-3-wh-1-5-16829")</f>
        <v>0.0</v>
      </c>
      <c r="E1000" s="7" t="n">
        <f>HYPERLINK("https://www.somogyi.hu/data/img/product_main_images/small/16829.jpg","https://www.somogyi.hu/data/img/product_main_images/small/16829.jpg")</f>
        <v>0.0</v>
      </c>
      <c r="F1000" s="2" t="inlineStr">
        <is>
          <t>5999084948610</t>
        </is>
      </c>
      <c r="G1000" s="4" t="inlineStr">
        <is>
          <t>Az NV 6-3/WH/1,5 Hálózati elosztó fehér színű, 6 db aljzattal és 3 m hosszú H05VV-F 3G1,5 mm2 kábellel felszerelt. A biztonságos használat érdekében gyermekvédelemmel ellátott. Maximum 3500 W-ig terhelhető.
Vásároljon megbízható hálózati elosztót és oldja meg egyszerűen elektromos eszközei tápellátását egy helyről.</t>
        </is>
      </c>
    </row>
    <row r="1001">
      <c r="A1001" s="3" t="inlineStr">
        <is>
          <t>NVK 06K-3/WH/1,5</t>
        </is>
      </c>
      <c r="B1001" s="2" t="inlineStr">
        <is>
          <t>Home NVK 06K-3/WH/1,5 hálózati elosztó, 3 m, H05VV-F, 3G1,5 mm2 kábel, kapcsolós, 6 aljzat gyermekvédelemmel, max. 3500W, fehér</t>
        </is>
      </c>
      <c r="C1001" s="1" t="n">
        <v>8690.0</v>
      </c>
      <c r="D1001" s="7" t="n">
        <f>HYPERLINK("https://www.somogyi.hu/product/home-nvk-06k-3-wh-1-5-halozati-eloszto-3-m-h05vv-f-3g1-5-mm2-kabel-kapcsolos-6-aljzat-gyermekvedelemmel-max-3500w-feher-nvk-06k-3-wh-1-5-15328","https://www.somogyi.hu/product/home-nvk-06k-3-wh-1-5-halozati-eloszto-3-m-h05vv-f-3g1-5-mm2-kabel-kapcsolos-6-aljzat-gyermekvedelemmel-max-3500w-feher-nvk-06k-3-wh-1-5-15328")</f>
        <v>0.0</v>
      </c>
      <c r="E1001" s="7" t="n">
        <f>HYPERLINK("https://www.somogyi.hu/data/img/product_main_images/small/15328.jpg","https://www.somogyi.hu/data/img/product_main_images/small/15328.jpg")</f>
        <v>0.0</v>
      </c>
      <c r="F1001" s="2" t="inlineStr">
        <is>
          <t>5999084933623</t>
        </is>
      </c>
      <c r="G1001" s="4" t="inlineStr">
        <is>
          <t>Az NVK 06K-3/WH/1,5 Kapcsolós hálózati elosztó 6 db aljzattal ellátott, melyeket külön aljzatonként tud kapcsolni, valamint az egész készüléket egy fő kapcsolóval is áramtalanítani lehet. A biztonságos használat érdekében gyermekvédelemmel ellátott. Az elosztó 3 m hosszú H05VV-F 3G1,5 mm2 kábellel felszerelt. Maximum 3500 W-ig terhelhető.
Vásároljon megbízható hálózati elosztót, melyet egyéni igények szerint tud áramtalanítani.</t>
        </is>
      </c>
    </row>
    <row r="1002">
      <c r="A1002" s="3" t="inlineStr">
        <is>
          <t>NVK 03K/WH</t>
        </is>
      </c>
      <c r="B1002" s="2" t="inlineStr">
        <is>
          <t>Home NVK 03K/WH hálózati elosztó, 1,5 m, H05VV-F, 3G1,0 mm2 kábel, kapcsolós, 3 aljzat gyermekvédelemmel, max. 3500W, fehér</t>
        </is>
      </c>
      <c r="C1002" s="1" t="n">
        <v>4890.0</v>
      </c>
      <c r="D1002" s="7" t="n">
        <f>HYPERLINK("https://www.somogyi.hu/product/home-nvk-03k-wh-halozati-eloszto-1-5-m-h05vv-f-3g1-0-mm2-kabel-kapcsolos-3-aljzat-gyermekvedelemmel-max-3500w-feher-nvk-03k-wh-15325","https://www.somogyi.hu/product/home-nvk-03k-wh-halozati-eloszto-1-5-m-h05vv-f-3g1-0-mm2-kabel-kapcsolos-3-aljzat-gyermekvedelemmel-max-3500w-feher-nvk-03k-wh-15325")</f>
        <v>0.0</v>
      </c>
      <c r="E1002" s="7" t="n">
        <f>HYPERLINK("https://www.somogyi.hu/data/img/product_main_images/small/15325.jpg","https://www.somogyi.hu/data/img/product_main_images/small/15325.jpg")</f>
        <v>0.0</v>
      </c>
      <c r="F1002" s="2" t="inlineStr">
        <is>
          <t>5999084933593</t>
        </is>
      </c>
      <c r="G1002" s="4" t="inlineStr">
        <is>
          <t>Az NVK 03K/WH Kapcsolós hálózati elosztó 3 db aljzattal ellátott, melyeket külön aljzatonként tud kapcsolni, valamint az egész készüléket egy fő kapcsolóval is áramtalanítani lehet. A biztonságos használat érdekében gyermekvédelemmel ellátott. Az elosztó 1,5 m hosszú H05VV-F 3G1,0 mm2 kábellel felszerelt. Maximum 3500 W-ig terhelhető. 
Vásároljon megbízható hálózati elosztót, melyet egyéni igények szerint tud áramtalanítani.</t>
        </is>
      </c>
    </row>
    <row r="1003">
      <c r="A1003" s="3" t="inlineStr">
        <is>
          <t>NV 17/WH</t>
        </is>
      </c>
      <c r="B1003" s="2" t="inlineStr">
        <is>
          <t>Home NV 17/WH hálózati elosztó, 1,5 m, H05VV-F 3G1,0 mm2 kábel, kapcsolós, IP20 kivitel, 3 védőérintkezős és 4 euro aljzat, max. 3500W, fehér</t>
        </is>
      </c>
      <c r="C1003" s="1" t="n">
        <v>2590.0</v>
      </c>
      <c r="D1003" s="7" t="n">
        <f>HYPERLINK("https://www.somogyi.hu/product/home-nv-17-wh-halozati-eloszto-1-5-m-h05vv-f-3g1-0-mm2-kabel-kapcsolos-ip20-kivitel-3-vedoerintkezos-es-4-euro-aljzat-max-3500w-feher-nv-17-wh-8746","https://www.somogyi.hu/product/home-nv-17-wh-halozati-eloszto-1-5-m-h05vv-f-3g1-0-mm2-kabel-kapcsolos-ip20-kivitel-3-vedoerintkezos-es-4-euro-aljzat-max-3500w-feher-nv-17-wh-8746")</f>
        <v>0.0</v>
      </c>
      <c r="E1003" s="7" t="n">
        <f>HYPERLINK("https://www.somogyi.hu/data/img/product_main_images/small/08746.jpg","https://www.somogyi.hu/data/img/product_main_images/small/08746.jpg")</f>
        <v>0.0</v>
      </c>
      <c r="F1003" s="2" t="inlineStr">
        <is>
          <t>5998312776292</t>
        </is>
      </c>
      <c r="G1003" s="4" t="inlineStr">
        <is>
          <t>Gondolt már arra, hogyan növelhetné otthona vagy irodája áramellátási lehetőségeit biztonságosan és egyszerűen?A Home NV 17/WH hálózati elosztó ideális választás mindazok számára, akik több eszközt szeretnének egyszerre használni, anélkül, hogy aggódniuk kellene a biztonság miatt.
Ez a hálózati elosztó H05VV-F 3G 1,0 mm² típusú vezetékkel rendelkezik, melynek hossza 1,5 méter, így rugalmasan elhelyezhető a kívánt helyen. A készülék névleges feszültsége 250 V~, névleges áramerőssége 16 A, és névleges teljesítménye 3500 W, tehát erőteljes és megbízható teljesítményt nyújt. Három védőérintkezős aljzat és négy euro aljzat áll rendelkezésére, hogy minden készüléket könnyedén csatlakoztathasson.
A gyermekzár gondoskodik a biztonságról, megelőzve a véletlen baleseteket, míg a beépített kapcsolóval egyszerűen irányíthatja az áramellátást. A fehér szín és az IP20 védettségi fokozat garantálja, hogy a termék minden otthoni vagy irodai környezetbe illeszkedjen és megbízhatóan működjön.
Ne habozzon, válassza a Home NV 17/WH hálózati elosztót, és élvezze a biztonságos és kényelmes áramellátást minden helyiségben!</t>
        </is>
      </c>
    </row>
    <row r="1004">
      <c r="A1004" s="3" t="inlineStr">
        <is>
          <t>NV 14/WH</t>
        </is>
      </c>
      <c r="B1004" s="2" t="inlineStr">
        <is>
          <t>Home NV 14/WH hálózati elosztó, 1,5 m, H05VV-F 3G1,0 mm2 kábel, IP 20 kivitel, 2 védőérintkezős és 2 euro aljzat, max. 3500W, fehér</t>
        </is>
      </c>
      <c r="C1004" s="1" t="n">
        <v>2090.0</v>
      </c>
      <c r="D1004" s="7" t="n">
        <f>HYPERLINK("https://www.somogyi.hu/product/home-nv-14-wh-halozati-eloszto-1-5-m-h05vv-f-3g1-0-mm2-kabel-ip-20-kivitel-2-vedoerintkezos-es-2-euro-aljzat-max-3500w-feher-nv-14-wh-2860","https://www.somogyi.hu/product/home-nv-14-wh-halozati-eloszto-1-5-m-h05vv-f-3g1-0-mm2-kabel-ip-20-kivitel-2-vedoerintkezos-es-2-euro-aljzat-max-3500w-feher-nv-14-wh-2860")</f>
        <v>0.0</v>
      </c>
      <c r="E1004" s="7" t="n">
        <f>HYPERLINK("https://www.somogyi.hu/data/img/product_main_images/small/02860.jpg","https://www.somogyi.hu/data/img/product_main_images/small/02860.jpg")</f>
        <v>0.0</v>
      </c>
      <c r="F1004" s="2" t="inlineStr">
        <is>
          <t>5998312731840</t>
        </is>
      </c>
      <c r="G1004" s="4" t="inlineStr">
        <is>
          <t>Az NV 14/WH Hálózati elosztó fehér színű, 2 db védőérintkezős aljzattal és 2 db euro aljzattal felszerelt, amelyhez 1,5 méter hosszú, H05VV-F 3G1,0 mm 2 kábel tartozik. A biztonságos használat érdekében gyermekvédelemmel ellátott. Maximum 3500 W-ig terhelhető.
Vásároljon megbízható hálózati elosztót és oldja meg egyszerűen elektromos eszközei tápellátását egy helyről.</t>
        </is>
      </c>
    </row>
    <row r="1005">
      <c r="A1005" s="3" t="inlineStr">
        <is>
          <t>PNV 10K/WH</t>
        </is>
      </c>
      <c r="B1005" s="2" t="inlineStr">
        <is>
          <t>Home PNV 10K/WH hálózati elosztó, 2 m, H05VV-F 3G1,0 mm2 kábel, kapcsolós, IP20 kivitel, 10 aljzat gyermekvédelemmel, max. 3500W, fehér, felakasztható</t>
        </is>
      </c>
      <c r="C1005" s="1" t="n">
        <v>5990.0</v>
      </c>
      <c r="D1005" s="7" t="n">
        <f>HYPERLINK("https://www.somogyi.hu/product/home-pnv-10k-wh-halozati-eloszto-2-m-h05vv-f-3g1-0-mm2-kabel-kapcsolos-ip20-kivitel-10-aljzat-gyermekvedelemmel-max-3500w-feher-felakaszthato-pnv-10k-wh-8745","https://www.somogyi.hu/product/home-pnv-10k-wh-halozati-eloszto-2-m-h05vv-f-3g1-0-mm2-kabel-kapcsolos-ip20-kivitel-10-aljzat-gyermekvedelemmel-max-3500w-feher-felakaszthato-pnv-10k-wh-8745")</f>
        <v>0.0</v>
      </c>
      <c r="E1005" s="7" t="n">
        <f>HYPERLINK("https://www.somogyi.hu/data/img/product_main_images/small/08745.jpg","https://www.somogyi.hu/data/img/product_main_images/small/08745.jpg")</f>
        <v>0.0</v>
      </c>
      <c r="F1005" s="2" t="inlineStr">
        <is>
          <t>5998312776285</t>
        </is>
      </c>
      <c r="G1005" s="4" t="inlineStr">
        <is>
          <t>Keress az igényeinek megfelelő mennyiségű aljzattal ellátott elosztókat! A PNV 10K/WH egy 2 méteres kábellel és 10 aljzattal rendelkezik. A H05VV-F 3G1,0 mm²-es kábel IP20-as kivitelben készült. Az elosztó további előnye, hogy gyermekvédelemmel, valamint a könnyed használat érdekében felakasztható kerettel rendelkezik.
 Felhasználhatósága: 250 V~ / 16 A / 3500 W. Válassza a minőségi termékeket és rendeljen webáruházunkból.</t>
        </is>
      </c>
    </row>
    <row r="1006">
      <c r="A1006" s="3" t="inlineStr">
        <is>
          <t>PNV 08K/WH</t>
        </is>
      </c>
      <c r="B1006" s="2" t="inlineStr">
        <is>
          <t>Home PNV 08K/WH hálózati elosztó, 2 m, H05VV-F 3G1,0 mm2 kábel, kapcsolós, IP20 kivitel, 8 aljzat gyermekvédelemmel, max. 3500W, fehér, felakasztható</t>
        </is>
      </c>
      <c r="C1006" s="1" t="n">
        <v>5190.0</v>
      </c>
      <c r="D1006" s="7" t="n">
        <f>HYPERLINK("https://www.somogyi.hu/product/home-pnv-08k-wh-halozati-eloszto-2-m-h05vv-f-3g1-0-mm2-kabel-kapcsolos-ip20-kivitel-8-aljzat-gyermekvedelemmel-max-3500w-feher-felakaszthato-pnv-08k-wh-8744","https://www.somogyi.hu/product/home-pnv-08k-wh-halozati-eloszto-2-m-h05vv-f-3g1-0-mm2-kabel-kapcsolos-ip20-kivitel-8-aljzat-gyermekvedelemmel-max-3500w-feher-felakaszthato-pnv-08k-wh-8744")</f>
        <v>0.0</v>
      </c>
      <c r="E1006" s="7" t="n">
        <f>HYPERLINK("https://www.somogyi.hu/data/img/product_main_images/small/08744.jpg","https://www.somogyi.hu/data/img/product_main_images/small/08744.jpg")</f>
        <v>0.0</v>
      </c>
      <c r="F1006" s="2" t="inlineStr">
        <is>
          <t>5998312776278</t>
        </is>
      </c>
      <c r="G1006" s="4" t="inlineStr">
        <is>
          <t>Keress az igényeinek megfelelő mennyiségű aljzattal ellátott elosztókat! A PNV 08K/WH egy 2 méteres kábellel és 8 aljzattal rendelkezik. A H05VV-F 3G1,0 mm²-es kábel IP20-as kivitelben készült. Az elosztó további előnye, hogy gyermekvédelemmel, valamint a könnyed használat érdekében felakasztható kerettel rendelkezik.
 Felhasználhatósága: 250 V~ / 16 A / 3500 W. Válassza a minőségi termékeket és rendeljen webáruházunkból.</t>
        </is>
      </c>
    </row>
    <row r="1007">
      <c r="A1007" s="3" t="inlineStr">
        <is>
          <t>NV 6K/BK</t>
        </is>
      </c>
      <c r="B1007" s="2" t="inlineStr">
        <is>
          <t>Home NV 6K/BK hálózati elosztó, 1,5 m, H05VV-F 3G1,0 mm2 kábel, kétpólusú kapcsoló, IP20 kivitel, 6 védőérintkezős aljzat, max. 3500W, fekete</t>
        </is>
      </c>
      <c r="C1007" s="1" t="n">
        <v>2490.0</v>
      </c>
      <c r="D1007" s="7" t="n">
        <f>HYPERLINK("https://www.somogyi.hu/product/home-nv-6k-bk-halozati-eloszto-1-5-m-h05vv-f-3g1-0-mm2-kabel-ketpolusu-kapcsolo-ip20-kivitel-6-vedoerintkezos-aljzat-max-3500w-fekete-nv-6k-bk-16832","https://www.somogyi.hu/product/home-nv-6k-bk-halozati-eloszto-1-5-m-h05vv-f-3g1-0-mm2-kabel-ketpolusu-kapcsolo-ip20-kivitel-6-vedoerintkezos-aljzat-max-3500w-fekete-nv-6k-bk-16832")</f>
        <v>0.0</v>
      </c>
      <c r="E1007" s="7" t="n">
        <f>HYPERLINK("https://www.somogyi.hu/data/img/product_main_images/small/16832.jpg","https://www.somogyi.hu/data/img/product_main_images/small/16832.jpg")</f>
        <v>0.0</v>
      </c>
      <c r="F1007" s="2" t="inlineStr">
        <is>
          <t>5999084948641</t>
        </is>
      </c>
      <c r="G1007" s="4" t="inlineStr">
        <is>
          <t>Az NV 6K/BK Kapcsolós hálózati elosztó 6 db aljzattal ellátott, melyet egy fő kapcsolóval áramtalanítani tud. A biztonságos használat érdekében IP 20 védelemmel és gyermekvédelemmel ellátott. A fekete színű elosztó 1,5 m hosszú H05VV-F 3G1,0 mm2 kábellel felszerelt. Maximum 3500 W-ig terhelhető. 
Vásároljon megbízható hálózati elosztót!</t>
        </is>
      </c>
    </row>
    <row r="1008">
      <c r="A1008" s="3" t="inlineStr">
        <is>
          <t>NVK 06K/WH</t>
        </is>
      </c>
      <c r="B1008" s="2" t="inlineStr">
        <is>
          <t>Home NVK 06K/WH hálózati elosztó, 1,5 m, H05VV-F, 3G1,0 mm2 kábel, kapcsolós, 6 aljzat gyermekvédelemmel, max. 3500W, fehér</t>
        </is>
      </c>
      <c r="C1008" s="1" t="n">
        <v>6990.0</v>
      </c>
      <c r="D1008" s="7" t="n">
        <f>HYPERLINK("https://www.somogyi.hu/product/home-nvk-06k-wh-halozati-eloszto-1-5-m-h05vv-f-3g1-0-mm2-kabel-kapcsolos-6-aljzat-gyermekvedelemmel-max-3500w-feher-nvk-06k-wh-15327","https://www.somogyi.hu/product/home-nvk-06k-wh-halozati-eloszto-1-5-m-h05vv-f-3g1-0-mm2-kabel-kapcsolos-6-aljzat-gyermekvedelemmel-max-3500w-feher-nvk-06k-wh-15327")</f>
        <v>0.0</v>
      </c>
      <c r="E1008" s="7" t="n">
        <f>HYPERLINK("https://www.somogyi.hu/data/img/product_main_images/small/15327.jpg","https://www.somogyi.hu/data/img/product_main_images/small/15327.jpg")</f>
        <v>0.0</v>
      </c>
      <c r="F1008" s="2" t="inlineStr">
        <is>
          <t>5999084933616</t>
        </is>
      </c>
      <c r="G1008" s="4" t="inlineStr">
        <is>
          <t>Az NVK 06K/WH Kapcsolós hálózati elosztó 6 db aljzattal ellátott, melyeket külön aljzatonként tud kapcsolni, valamint az egész készüléket egy fő kapcsolóval is áramtalanítani lehet. A biztonságos használat érdekében gyermekvédelemmel ellátott. Az elosztó 1,5 m hosszú H05VV-F 3G1,0 mm2 kábellel felszerelt. Maximum 3500 W-ig terhelhető.
Vásároljon megbízható hálózati elosztót, melyet egyéni igények szerint tud áramtalanítani.</t>
        </is>
      </c>
    </row>
    <row r="1009">
      <c r="A1009" s="3" t="inlineStr">
        <is>
          <t>NVT 04K/WH</t>
        </is>
      </c>
      <c r="B1009" s="2" t="inlineStr">
        <is>
          <t>Home NVT 04K/WH túlfeszültség védett hálózati elosztó, 1,5 m, kapcsolós, H05VV-F 3G1,5 mm2 kábel, IP20 kivitel, 4 aljzat, max. 3500W</t>
        </is>
      </c>
      <c r="C1009" s="1" t="n">
        <v>4790.0</v>
      </c>
      <c r="D1009" s="7" t="n">
        <f>HYPERLINK("https://www.somogyi.hu/product/home-nvt-04k-wh-tulfeszultseg-vedett-halozati-eloszto-1-5-m-kapcsolos-h05vv-f-3g1-5-mm2-kabel-ip20-kivitel-4-aljzat-max-3500w-nvt-04k-wh-8486","https://www.somogyi.hu/product/home-nvt-04k-wh-tulfeszultseg-vedett-halozati-eloszto-1-5-m-kapcsolos-h05vv-f-3g1-5-mm2-kabel-ip20-kivitel-4-aljzat-max-3500w-nvt-04k-wh-8486")</f>
        <v>0.0</v>
      </c>
      <c r="E1009" s="7" t="n">
        <f>HYPERLINK("https://www.somogyi.hu/data/img/product_main_images/small/08486.jpg","https://www.somogyi.hu/data/img/product_main_images/small/08486.jpg")</f>
        <v>0.0</v>
      </c>
      <c r="F1009" s="2" t="inlineStr">
        <is>
          <t>5998312773857</t>
        </is>
      </c>
      <c r="G1009" s="4" t="inlineStr">
        <is>
          <t>Ügyeljen a biztonságra és keresse a túlfeszültségvédett hálózati elosztókat! Az NVT 04K/WH egy 1,5 méteres kábellel, valamint 4 aljzattal rendelkezik. A H05VV-F 3G1,5 mm²-es kábel IP20-as kivitelben készült. Az elosztó alkalmas a háztartási készülékek védelmére, továbbá 4500 A-ig túlfeszültségvédett. A termék további előnye, hogy kapcsolóval és gyermekvédelemmel ellátott. Felhasználhatósága: 250 V / 50 HZ / 16 A / 3500 W. Válassza a minőségi termékeket és rendeljen webáruházunkból.</t>
        </is>
      </c>
    </row>
    <row r="1010">
      <c r="A1010" s="3" t="inlineStr">
        <is>
          <t>NVT 06K/WH</t>
        </is>
      </c>
      <c r="B1010" s="2" t="inlineStr">
        <is>
          <t>Home NVT 06K/WH túlfeszültség védett hálózati elosztó, 1,5 m, kapcsolós, H05VV-F 3G1,5 mm2 kábel, IP20 kivitel, 6 aljzat, max. 3500W</t>
        </is>
      </c>
      <c r="C1010" s="1" t="n">
        <v>5190.0</v>
      </c>
      <c r="D1010" s="7" t="n">
        <f>HYPERLINK("https://www.somogyi.hu/product/home-nvt-06k-wh-tulfeszultseg-vedett-halozati-eloszto-1-5-m-kapcsolos-h05vv-f-3g1-5-mm2-kabel-ip20-kivitel-6-aljzat-max-3500w-nvt-06k-wh-8487","https://www.somogyi.hu/product/home-nvt-06k-wh-tulfeszultseg-vedett-halozati-eloszto-1-5-m-kapcsolos-h05vv-f-3g1-5-mm2-kabel-ip20-kivitel-6-aljzat-max-3500w-nvt-06k-wh-8487")</f>
        <v>0.0</v>
      </c>
      <c r="E1010" s="7" t="n">
        <f>HYPERLINK("https://www.somogyi.hu/data/img/product_main_images/small/08487.jpg","https://www.somogyi.hu/data/img/product_main_images/small/08487.jpg")</f>
        <v>0.0</v>
      </c>
      <c r="F1010" s="2" t="inlineStr">
        <is>
          <t>5998312773864</t>
        </is>
      </c>
      <c r="G1010" s="4" t="inlineStr">
        <is>
          <t>Ügyeljen a biztonságra és keresse a túlfeszültségvédett hálózati elosztókat! Az NVT 06K/WH egy 1,5 méteres kábellel, valamint 6 aljzattal rendelkezik. A H05VV-F 3G1,5 mm²-es kábel IP20-as kivitelben készült. Az elosztó alkalmas a háztartási készülékek védelmére, továbbá 4500 A-ig túlfeszültségvédett. A termék további előnye, hogy kapcsolóval és gyermekvédelemmel ellátott. Felhasználhatósága: 250 V / 50 HZ / 16 A / 3500 W. Válassza a minőségi termékeket és rendeljen webáruházunkból.</t>
        </is>
      </c>
    </row>
    <row r="1011">
      <c r="A1011" s="3" t="inlineStr">
        <is>
          <t>NV 6K-10/WH/1,5</t>
        </is>
      </c>
      <c r="B1011" s="2" t="inlineStr">
        <is>
          <t>Home NV 6K-10/WH/1,5 hálózati elosztó, 10 m, H05VV-F 3G1,5 mm2 kábel, kétpólusú kapcsoló, IP20 kivitel, 6 védőérintkezős aljzat, max. 3500W, fehér</t>
        </is>
      </c>
      <c r="C1011" s="1" t="n">
        <v>7490.0</v>
      </c>
      <c r="D1011" s="7" t="n">
        <f>HYPERLINK("https://www.somogyi.hu/product/home-nv-6k-10-wh-1-5-halozati-eloszto-10-m-h05vv-f-3g1-5-mm2-kabel-ketpolusu-kapcsolo-ip20-kivitel-6-vedoerintkezos-aljzat-max-3500w-feher-nv-6k-10-wh-1-5-16842","https://www.somogyi.hu/product/home-nv-6k-10-wh-1-5-halozati-eloszto-10-m-h05vv-f-3g1-5-mm2-kabel-ketpolusu-kapcsolo-ip20-kivitel-6-vedoerintkezos-aljzat-max-3500w-feher-nv-6k-10-wh-1-5-16842")</f>
        <v>0.0</v>
      </c>
      <c r="E1011" s="7" t="n">
        <f>HYPERLINK("https://www.somogyi.hu/data/img/product_main_images/small/16842.jpg","https://www.somogyi.hu/data/img/product_main_images/small/16842.jpg")</f>
        <v>0.0</v>
      </c>
      <c r="F1011" s="2" t="inlineStr">
        <is>
          <t>5999084948740</t>
        </is>
      </c>
      <c r="G1011" s="4" t="inlineStr">
        <is>
          <t>Az NV 6K-10/WH/1,5 Kapcsolós hálózati elosztó 6 db aljzattal ellátott, melyet egy fő kapcsolóval áramtalanítani tud. A biztonságos használat érdekében IP 20 védelemmel és gyermekvédelemmel ellátott. A fehér színű elosztó 10 m hosszú H05VV-F 3G1,5 mm2 kábellel felszerelt. 
Vásároljon megbízható hálózati elosztót!</t>
        </is>
      </c>
    </row>
    <row r="1012">
      <c r="A1012" s="3" t="inlineStr">
        <is>
          <t>NV 18-3/WH/1,5</t>
        </is>
      </c>
      <c r="B1012" s="2" t="inlineStr">
        <is>
          <t>Home NV 18-3/WH/1,5 hálózati elosztó, 3 m, H05VV-F 3G1,5 mm2 kábel, IP 20 kivitel, 4 védőérintkezős és 4 euro aljzat, max. 3500W, fehér</t>
        </is>
      </c>
      <c r="C1012" s="1" t="n">
        <v>2990.0</v>
      </c>
      <c r="D1012" s="7" t="n">
        <f>HYPERLINK("https://www.somogyi.hu/product/home-nv-18-3-wh-1-5-halozati-eloszto-3-m-h05vv-f-3g1-5-mm2-kabel-ip-20-kivitel-4-vedoerintkezos-es-4-euro-aljzat-max-3500w-feher-nv-18-3-wh-1-5-17146","https://www.somogyi.hu/product/home-nv-18-3-wh-1-5-halozati-eloszto-3-m-h05vv-f-3g1-5-mm2-kabel-ip-20-kivitel-4-vedoerintkezos-es-4-euro-aljzat-max-3500w-feher-nv-18-3-wh-1-5-17146")</f>
        <v>0.0</v>
      </c>
      <c r="E1012" s="7" t="n">
        <f>HYPERLINK("https://www.somogyi.hu/data/img/product_main_images/small/17146.jpg","https://www.somogyi.hu/data/img/product_main_images/small/17146.jpg")</f>
        <v>0.0</v>
      </c>
      <c r="F1012" s="2" t="inlineStr">
        <is>
          <t>5999084951788</t>
        </is>
      </c>
      <c r="G1012" s="4" t="inlineStr">
        <is>
          <t>Szüksége van egy megbízható és biztonságos hálózati elosztóra, amely egyszerre több készülék csatlakoztatását teszi lehetővé?
A Home NV 18-3/WH/1,5 hálózati elosztó tökéletes megoldást kínál otthoni és irodai használatra, legyen szó számítógépek, háztartási gépek vagy elektronikai eszközök áramellátásáról. A 3 méter hosszú kábel elegendő szabadságot biztosít, hogy távoli konnektorokat is kényelmesen elérjen, miközben a gyermekvédelemmel ellátott aljzatok extra biztonságot nyújtanak családi környezetben.
Kiemelkedő teljesítmény és sokoldalúság
A hálózati elosztó összesen 8 aljzattal rendelkezik, ebből 4 védőérintkezős aljzat a nagyobb teljesítményű eszközökhöz, míg 4 euro aljzat kisebb készülékek csatlakoztatására szolgál. A H05VV-F 3G1,5 mm² kábel és a 3500 W maximális teljesítmény garantálja a zavartalan működést még nagy terhelés mellett is. Az elosztó 250 V~ / 16 A névleges feszültséggel és áramerősséggel működik, amely ideális a legtöbb otthoni és irodai eszköz számára.
Biztonság és praktikum egyben
Az elosztó IP20 kivitelű, amely beltéri használatra készült, és megfelelően védett az érintés ellen. A gyermekvédelemmel ellátott aljzatok biztosítják, hogy a kíváncsi kisgyermekek ne férjenek hozzá az érintkezők belső részéhez. A fehér színű, letisztult dizájn könnyedén illeszkedik bármilyen környezetbe, legyen szó nappaliról, irodáról vagy műhelyről.
Műszaki adatok összefoglalása:
- 8 aljzat, ebből 4 védőérintkezős és 4 euro aljzat
- Gyermekvédelem az extra biztonságért
- 3 méteres H05VV-F 3G1,5 mm² kábel
- Maximális teljesítmény: 3500 W
- Névleges feszültség: 250 V~ / 16 A
- IP20 kivitel, beltéri használatra tervezve
- Szín: fehér
Miért érdemes ezt a hálózati elosztót választani?
A Home NV 18-3/WH/1,5 elosztó nemcsak megbízható és biztonságos, hanem rendkívül praktikus is, köszönhetően a többféle aljzattípusnak és a hosszú, 3 méteres kábelnek. Legyen szó otthoni vagy irodai környezetről, ez az elosztó mindenhol megállja a helyét. 
Csatlakoztassa egyszerre több eszközét, és élvezze a biztonságos, kényelmes áramellátást! Ne habozzon – válassza a Home NV 18-3/WH/1,5 hálózati elosztót, amely hosszú távon is garantálja a megbízható működést és a maximális kényelmet!</t>
        </is>
      </c>
    </row>
    <row r="1013">
      <c r="A1013" s="3" t="inlineStr">
        <is>
          <t>NVT 06K USB/WH</t>
        </is>
      </c>
      <c r="B1013" s="2" t="inlineStr">
        <is>
          <t>Home NVT 06K USB/WH túlfeszültség védett hálózati elosztó, 1,4 m, kapcsolós, H05VV-F 3G1,5 mm2 kábel, 6 aljzat, max. 3680W, falra akasztható, USB töltőaljzatok</t>
        </is>
      </c>
      <c r="C1013" s="1" t="n">
        <v>8290.0</v>
      </c>
      <c r="D1013" s="7" t="n">
        <f>HYPERLINK("https://www.somogyi.hu/product/home-nvt-06k-usb-wh-tulfeszultseg-vedett-halozati-eloszto-1-4-m-kapcsolos-h05vv-f-3g1-5-mm2-kabel-6-aljzat-max-3680w-falra-akaszthato-usb-toltoaljzatok-nvt-06k-usb-wh-15703","https://www.somogyi.hu/product/home-nvt-06k-usb-wh-tulfeszultseg-vedett-halozati-eloszto-1-4-m-kapcsolos-h05vv-f-3g1-5-mm2-kabel-6-aljzat-max-3680w-falra-akaszthato-usb-toltoaljzatok-nvt-06k-usb-wh-15703")</f>
        <v>0.0</v>
      </c>
      <c r="E1013" s="7" t="n">
        <f>HYPERLINK("https://www.somogyi.hu/data/img/product_main_images/small/15703.jpg","https://www.somogyi.hu/data/img/product_main_images/small/15703.jpg")</f>
        <v>0.0</v>
      </c>
      <c r="F1013" s="2" t="inlineStr">
        <is>
          <t>5999084937379</t>
        </is>
      </c>
      <c r="G1013" s="4" t="inlineStr">
        <is>
          <t>NVT 06K USB/WH típusú túlfeszültségvédett hálózati elosztó alkalmas háztartási IT készülékek védelmére. Az aljzat túlfeszültség elleni védelemmel rendelkezik 4 KV-ig. A hat aljzat mellett 2 darab USB töltőaljzat is található. Az aljzat akár felakasztva is használható. Válassza a minőségi termékeket és rendeljen webáruházunkból!</t>
        </is>
      </c>
    </row>
    <row r="1014">
      <c r="A1014" s="3" t="inlineStr">
        <is>
          <t>NV 4K/WH</t>
        </is>
      </c>
      <c r="B1014" s="2" t="inlineStr">
        <is>
          <t>Home NV 4K/WH hálózati elosztó, 1,5 m, H05VV-F 3G1,0 mm2 kábel, kétpólusú kapcsoló, IP20 kivitel, 4 védőérintkezős aljzat, max. 3500W, fehér</t>
        </is>
      </c>
      <c r="C1014" s="1" t="n">
        <v>2090.0</v>
      </c>
      <c r="D1014" s="7" t="n">
        <f>HYPERLINK("https://www.somogyi.hu/product/home-nv-4k-wh-halozati-eloszto-1-5-m-h05vv-f-3g1-0-mm2-kabel-ketpolusu-kapcsolo-ip20-kivitel-4-vedoerintkezos-aljzat-max-3500w-feher-nv-4k-wh-16819","https://www.somogyi.hu/product/home-nv-4k-wh-halozati-eloszto-1-5-m-h05vv-f-3g1-0-mm2-kabel-ketpolusu-kapcsolo-ip20-kivitel-4-vedoerintkezos-aljzat-max-3500w-feher-nv-4k-wh-16819")</f>
        <v>0.0</v>
      </c>
      <c r="E1014" s="7" t="n">
        <f>HYPERLINK("https://www.somogyi.hu/data/img/product_main_images/small/16819.jpg","https://www.somogyi.hu/data/img/product_main_images/small/16819.jpg")</f>
        <v>0.0</v>
      </c>
      <c r="F1014" s="2" t="inlineStr">
        <is>
          <t>5999084948511</t>
        </is>
      </c>
      <c r="G1014" s="4" t="inlineStr">
        <is>
          <t>Az NV 4K/WH Kapcsolós hálózati elosztó 4 db aljzattal ellátott, melyet egy fő kapcsolóval áramtalanítani tud. A biztonságos használat érdekében IP 20 védelemmel és gyermekvédelemmel ellátott. A fehér színű elosztó 1,5 m hosszú H05VV-F 3G1,0 mm2 kábellel felszerelt. Maximum 3500 W-ig terhelhető. 
Vásároljon megbízható hálózati elosztót!</t>
        </is>
      </c>
    </row>
    <row r="1015">
      <c r="A1015" s="3" t="inlineStr">
        <is>
          <t>NV 3K-10/WH/1,5</t>
        </is>
      </c>
      <c r="B1015" s="2" t="inlineStr">
        <is>
          <t>Home NV 3K-10/WH/1,5 hálózati elosztó, 10 m, H05VV-F 3G1,5 mm2 kábel, kétpólusú kapcsoló, IP20 kivitel, 3 védőérintkezős aljzat, max. 3500W, fehér</t>
        </is>
      </c>
      <c r="C1015" s="1" t="n">
        <v>6990.0</v>
      </c>
      <c r="D1015" s="7" t="n">
        <f>HYPERLINK("https://www.somogyi.hu/product/home-nv-3k-10-wh-1-5-halozati-eloszto-10-m-h05vv-f-3g1-5-mm2-kabel-ketpolusu-kapcsolo-ip20-kivitel-3-vedoerintkezos-aljzat-max-3500w-feher-nv-3k-10-wh-1-5-16816","https://www.somogyi.hu/product/home-nv-3k-10-wh-1-5-halozati-eloszto-10-m-h05vv-f-3g1-5-mm2-kabel-ketpolusu-kapcsolo-ip20-kivitel-3-vedoerintkezos-aljzat-max-3500w-feher-nv-3k-10-wh-1-5-16816")</f>
        <v>0.0</v>
      </c>
      <c r="E1015" s="7" t="n">
        <f>HYPERLINK("https://www.somogyi.hu/data/img/product_main_images/small/16816.jpg","https://www.somogyi.hu/data/img/product_main_images/small/16816.jpg")</f>
        <v>0.0</v>
      </c>
      <c r="F1015" s="2" t="inlineStr">
        <is>
          <t>5999084948481</t>
        </is>
      </c>
      <c r="G1015" s="4" t="inlineStr">
        <is>
          <t>Az NV 3K-10/WH/1,5 Kapcsolós hálózati elosztó 3 db aljzattal ellátott, melyet egy fő kapcsolóval áramtalanítani tud. A biztonságos használat érdekében IP 20 védelemmel és gyermekvédelemmel ellátott. A fehér elosztó 10 m hosszú H05VV-F 3G1,5 mm2 kábellel felszerelt. 
Vásároljon megbízható hálózati elosztót!</t>
        </is>
      </c>
    </row>
    <row r="1016">
      <c r="A1016" s="3" t="inlineStr">
        <is>
          <t>NVP 03K/WH</t>
        </is>
      </c>
      <c r="B1016" s="2" t="inlineStr">
        <is>
          <t>Home NVP 03K/WH túlfeszültség védett hálózati elosztó, 2 m, kapcsolós, H05VV-F 3G1,5 mm2 kábel, IP20 kivitel, 3 aljzat, max. 3500W, falra akasztható</t>
        </is>
      </c>
      <c r="C1016" s="1" t="n">
        <v>4890.0</v>
      </c>
      <c r="D1016" s="7" t="n">
        <f>HYPERLINK("https://www.somogyi.hu/product/home-nvp-03k-wh-tulfeszultseg-vedett-halozati-eloszto-2-m-kapcsolos-h05vv-f-3g1-5-mm2-kabel-ip20-kivitel-3-aljzat-max-3500w-falra-akaszthato-nvp-03k-wh-8488","https://www.somogyi.hu/product/home-nvp-03k-wh-tulfeszultseg-vedett-halozati-eloszto-2-m-kapcsolos-h05vv-f-3g1-5-mm2-kabel-ip20-kivitel-3-aljzat-max-3500w-falra-akaszthato-nvp-03k-wh-8488")</f>
        <v>0.0</v>
      </c>
      <c r="E1016" s="7" t="n">
        <f>HYPERLINK("https://www.somogyi.hu/data/img/product_main_images/small/08488.jpg","https://www.somogyi.hu/data/img/product_main_images/small/08488.jpg")</f>
        <v>0.0</v>
      </c>
      <c r="F1016" s="2" t="inlineStr">
        <is>
          <t>5998312773871</t>
        </is>
      </c>
      <c r="G1016" s="4" t="inlineStr">
        <is>
          <t>Ügyeljen a biztonságra és keresse a túlfeszültségvédett hálózati elosztókat! Az NVP 03K/WH egy 2 méteres kábellel, valamint 3 aljzattal rendelkezik. A H05VV-F 3G1,5 mm²-es kábel IP20-as kivitelben készült. Az elosztó alkalmas a háztartási készülékek védelmére, továbbá 4500 A-ig túlfeszültségvédett. A termék további előnye, hogy kapcsolóval és gyermekvédelemmel ellátott. A könnyed használat érdekében falra felakasztható kivitelben kapható. Felhasználhatósága: 250 V / 50 HZ / 16 A / 3500 W. Válassza a minőségi termékeket és rendeljen webáruházunkból.</t>
        </is>
      </c>
    </row>
    <row r="1017">
      <c r="A1017" s="3" t="inlineStr">
        <is>
          <t>NV 6K/WH</t>
        </is>
      </c>
      <c r="B1017" s="2" t="inlineStr">
        <is>
          <t>Home NV 6K/WH hálózati elosztó, 1,5 m, H05VV-F 3G1,0 mm2 kábel, kétpólusú kapcsoló, IP20 kivitel, 6 védőérintkezős aljzat, max. 3500W, fehér</t>
        </is>
      </c>
      <c r="C1017" s="1" t="n">
        <v>2490.0</v>
      </c>
      <c r="D1017" s="7" t="n">
        <f>HYPERLINK("https://www.somogyi.hu/product/home-nv-6k-wh-halozati-eloszto-1-5-m-h05vv-f-3g1-0-mm2-kabel-ketpolusu-kapcsolo-ip20-kivitel-6-vedoerintkezos-aljzat-max-3500w-feher-nv-6k-wh-16833","https://www.somogyi.hu/product/home-nv-6k-wh-halozati-eloszto-1-5-m-h05vv-f-3g1-0-mm2-kabel-ketpolusu-kapcsolo-ip20-kivitel-6-vedoerintkezos-aljzat-max-3500w-feher-nv-6k-wh-16833")</f>
        <v>0.0</v>
      </c>
      <c r="E1017" s="7" t="n">
        <f>HYPERLINK("https://www.somogyi.hu/data/img/product_main_images/small/16833.jpg","https://www.somogyi.hu/data/img/product_main_images/small/16833.jpg")</f>
        <v>0.0</v>
      </c>
      <c r="F1017" s="2" t="inlineStr">
        <is>
          <t>5999084948658</t>
        </is>
      </c>
      <c r="G1017" s="4" t="inlineStr">
        <is>
          <t>Az NV 6K/WH Kapcsolós hálózati elosztó 6 db aljzattal ellátott, melyet egy fő kapcsolóval áramtalanítani tud. A biztonságos használat érdekében IP 20 védelemmel és gyermekvédelemmel ellátott. A fehér színű elosztó 1,5 m hosszú H05VV-F 3G1,0 mm2 kábellel felszerelt. Maximum 3500 W-ig terhelhető. 
Vásároljon megbízható hálózati elosztót!</t>
        </is>
      </c>
    </row>
    <row r="1018">
      <c r="A1018" s="3" t="inlineStr">
        <is>
          <t>NV 6K/WH/1,5</t>
        </is>
      </c>
      <c r="B1018" s="2" t="inlineStr">
        <is>
          <t>Home NV 6K/WH/1,5 hálózati elosztó, 1,5 m, H05VV-F 3G1,5 mm2 kábel, kétpólusú kapcsoló, IP20 kivitel, 6 védőérintkezős aljzat, max. 3500W, fehér</t>
        </is>
      </c>
      <c r="C1018" s="1" t="n">
        <v>2690.0</v>
      </c>
      <c r="D1018" s="7" t="n">
        <f>HYPERLINK("https://www.somogyi.hu/product/home-nv-6k-wh-1-5-halozati-eloszto-1-5-m-h05vv-f-3g1-5-mm2-kabel-ketpolusu-kapcsolo-ip20-kivitel-6-vedoerintkezos-aljzat-max-3500w-feher-nv-6k-wh-1-5-16834","https://www.somogyi.hu/product/home-nv-6k-wh-1-5-halozati-eloszto-1-5-m-h05vv-f-3g1-5-mm2-kabel-ketpolusu-kapcsolo-ip20-kivitel-6-vedoerintkezos-aljzat-max-3500w-feher-nv-6k-wh-1-5-16834")</f>
        <v>0.0</v>
      </c>
      <c r="E1018" s="7" t="n">
        <f>HYPERLINK("https://www.somogyi.hu/data/img/product_main_images/small/16834.jpg","https://www.somogyi.hu/data/img/product_main_images/small/16834.jpg")</f>
        <v>0.0</v>
      </c>
      <c r="F1018" s="2" t="inlineStr">
        <is>
          <t>5999084948665</t>
        </is>
      </c>
      <c r="G1018" s="4" t="inlineStr">
        <is>
          <t>Az NV 6K/WH/1,5 Kapcsolós hálózati elosztó 6 db aljzattal ellátott, melyet egy fő kapcsolóval áramtalanítani tud. A biztonságos használat érdekében IP 20 védelemmel és gyermekvédelemmel ellátott. A fehér színű elosztó 1,5 m hosszú H05VV-F 3G1,5 mm2 kábellel felszerelt. 
Vásároljon megbízható hálózati elosztót!</t>
        </is>
      </c>
    </row>
    <row r="1019">
      <c r="A1019" s="3" t="inlineStr">
        <is>
          <t>NV 3K-3/GR/1,5</t>
        </is>
      </c>
      <c r="B1019" s="2" t="inlineStr">
        <is>
          <t>Home NV 3K-3/GR/1,5 hálózati elosztó, 3 m, H05VV-F 3G1,5 mm2 kábel, kétpólusú kapcsoló, IP20 kivitel, 3 védőérintkezős aljzat, max. 3500W, zöld</t>
        </is>
      </c>
      <c r="C1019" s="1" t="n">
        <v>3190.0</v>
      </c>
      <c r="D1019" s="7" t="n">
        <f>HYPERLINK("https://www.somogyi.hu/product/home-nv-3k-3-gr-1-5-halozati-eloszto-3-m-h05vv-f-3g1-5-mm2-kabel-ketpolusu-kapcsolo-ip20-kivitel-3-vedoerintkezos-aljzat-max-3500w-zold-nv-3k-3-gr-1-5-17135","https://www.somogyi.hu/product/home-nv-3k-3-gr-1-5-halozati-eloszto-3-m-h05vv-f-3g1-5-mm2-kabel-ketpolusu-kapcsolo-ip20-kivitel-3-vedoerintkezos-aljzat-max-3500w-zold-nv-3k-3-gr-1-5-17135")</f>
        <v>0.0</v>
      </c>
      <c r="E1019" s="7" t="n">
        <f>HYPERLINK("https://www.somogyi.hu/data/img/product_main_images/small/17135.jpg","https://www.somogyi.hu/data/img/product_main_images/small/17135.jpg")</f>
        <v>0.0</v>
      </c>
      <c r="F1019" s="2" t="inlineStr">
        <is>
          <t>5999084951672</t>
        </is>
      </c>
      <c r="G1019" s="4" t="inlineStr">
        <is>
          <t>Az NV 3K-3/GR/1,5 Kapcsolós hálózati elosztó 3 db aljzattal ellátott, melyet egy fő kapcsolóval áramtalanítani tud. A biztonságos használat érdekében IP 20 védelemmel és gyermekvédelemmel ellátott. A zöld színű elosztó 3 m hosszú H05VV-F 3G1,5 mm2 kábellel felszerelt. Maximum 3500 W-ig terhelhető. 
Vásároljon megbízható hálózati elosztót!</t>
        </is>
      </c>
    </row>
    <row r="1020">
      <c r="A1020" s="3" t="inlineStr">
        <is>
          <t>NV 4E-5/WH</t>
        </is>
      </c>
      <c r="B1020" s="2" t="inlineStr">
        <is>
          <t>Home NV 4E-5/WH EURO hálózati elosztó, 5 m, H05VVH2-F 2 x 0,75 mm2, 4 védőérintkezős EURO aljzat, max. 2300 W, fehér</t>
        </is>
      </c>
      <c r="C1020" s="1" t="n">
        <v>2690.0</v>
      </c>
      <c r="D1020" s="7" t="n">
        <f>HYPERLINK("https://www.somogyi.hu/product/home-nv-4e-5-wh-euro-halozati-eloszto-5-m-h05vvh2-f-2-x-0-75-mm2-4-vedoerintkezos-euro-aljzat-max-2300-w-feher-nv-4e-5-wh-17617","https://www.somogyi.hu/product/home-nv-4e-5-wh-euro-halozati-eloszto-5-m-h05vvh2-f-2-x-0-75-mm2-4-vedoerintkezos-euro-aljzat-max-2300-w-feher-nv-4e-5-wh-17617")</f>
        <v>0.0</v>
      </c>
      <c r="E1020" s="7" t="n">
        <f>HYPERLINK("https://www.somogyi.hu/data/img/product_main_images/small/17617.jpg","https://www.somogyi.hu/data/img/product_main_images/small/17617.jpg")</f>
        <v>0.0</v>
      </c>
      <c r="F1020" s="2" t="inlineStr">
        <is>
          <t>5999084956394</t>
        </is>
      </c>
      <c r="G1020" s="4" t="inlineStr">
        <is>
          <t>Egy elosztó sosem elég. Minden háztartásban szükség van több megbízható hosszabbítóra, hogy a különböző felhasználási területeket ki lehessen jól szolgálni. NV 4E-5/WH 4 db gyermekvédelemmel ellátott EURO aljazot foglal magában. A fehér színű elosztó vezetéke 5 méter hosszú.</t>
        </is>
      </c>
    </row>
    <row r="1021">
      <c r="A1021" s="3" t="inlineStr">
        <is>
          <t>NV 4E-3/WH</t>
        </is>
      </c>
      <c r="B1021" s="2" t="inlineStr">
        <is>
          <t>Home NV 4E-3/WH EURO hálózati elosztó, 3 m, H05VVH2-F 2 x 0,75 mm2, 4 védőérintkezős EURO aljzat, max. 2300 W, fehér</t>
        </is>
      </c>
      <c r="C1021" s="1" t="n">
        <v>2190.0</v>
      </c>
      <c r="D1021" s="7" t="n">
        <f>HYPERLINK("https://www.somogyi.hu/product/home-nv-4e-3-wh-euro-halozati-eloszto-3-m-h05vvh2-f-2-x-0-75-mm2-4-vedoerintkezos-euro-aljzat-max-2300-w-feher-nv-4e-3-wh-17616","https://www.somogyi.hu/product/home-nv-4e-3-wh-euro-halozati-eloszto-3-m-h05vvh2-f-2-x-0-75-mm2-4-vedoerintkezos-euro-aljzat-max-2300-w-feher-nv-4e-3-wh-17616")</f>
        <v>0.0</v>
      </c>
      <c r="E1021" s="7" t="n">
        <f>HYPERLINK("https://www.somogyi.hu/data/img/product_main_images/small/17616.jpg","https://www.somogyi.hu/data/img/product_main_images/small/17616.jpg")</f>
        <v>0.0</v>
      </c>
      <c r="F1021" s="2" t="inlineStr">
        <is>
          <t>5999084956387</t>
        </is>
      </c>
      <c r="G1021" s="4" t="inlineStr">
        <is>
          <t>Egy elosztó sosem elég. Minden háztartásban szükség van több megbízható hosszabbítóra, hogy a különböző felhasználási területeket ki lehessen jól szolgálni. NV 4E-3/WH 4 db gyermekvédelemmel ellátott EURO aljazot foglal magában. A fehér színű elosztó vezetéke 3 méter hosszú.</t>
        </is>
      </c>
    </row>
    <row r="1022">
      <c r="A1022" s="3" t="inlineStr">
        <is>
          <t>NVT 6K/BK</t>
        </is>
      </c>
      <c r="B1022" s="2" t="inlineStr">
        <is>
          <t>Home NVT 6K/BK túlfeszültségvédett hálózati elosztó, 1,5 m, H05VV-F 3G1,0 mm2 kábel, 6 aljzat gyermekvédelemmel, kapcsoló, felakasztható, max. 3680W, fekete</t>
        </is>
      </c>
      <c r="C1022" s="1" t="n">
        <v>6090.0</v>
      </c>
      <c r="D1022" s="7" t="n">
        <f>HYPERLINK("https://www.somogyi.hu/product/home-nvt-6k-bk-tulfeszultsegvedett-halozati-eloszto-1-5-m-h05vv-f-3g1-0-mm2-kabel-6-aljzat-gyermekvedelemmel-kapcsolo-felakaszthato-max-3680w-fekete-nvt-6k-bk-17070","https://www.somogyi.hu/product/home-nvt-6k-bk-tulfeszultsegvedett-halozati-eloszto-1-5-m-h05vv-f-3g1-0-mm2-kabel-6-aljzat-gyermekvedelemmel-kapcsolo-felakaszthato-max-3680w-fekete-nvt-6k-bk-17070")</f>
        <v>0.0</v>
      </c>
      <c r="E1022" s="7" t="n">
        <f>HYPERLINK("https://www.somogyi.hu/data/img/product_main_images/small/17070.jpg","https://www.somogyi.hu/data/img/product_main_images/small/17070.jpg")</f>
        <v>0.0</v>
      </c>
      <c r="F1022" s="2" t="inlineStr">
        <is>
          <t>5999084951023</t>
        </is>
      </c>
      <c r="G1022" s="4" t="inlineStr">
        <is>
          <t>Szeretné megvédeni háztartási készülékeit a túlfeszültségtől? A Home NVT 6K/BK túlfeszültségvédett hálózati elosztó a megoldás!
Ez az elosztó 6 aljzattal rendelkezik, amelyek mindegyike védőzsaluval ellátott, így maximális biztonságot nyújt az elektromos berendezéseinek. A túlfeszültségvédelem 3 kV-ig terjed, így megóvja készülékeit a hirtelen áramingadozásoktól. A világító főkapcsoló segítségével könnyedén ellenőrizheti, hogy az elosztó be van-e kapcsolva, továbbá felakasztható vagy kábelkötegelővel is rögzíthető, így helytakarékosan használható.
Az elosztó 1,5 méteres H05VV-F 3G1,0 mm2 vezetékkel rendelkezik, amely rugalmasságot biztosít a csatlakoztatás során. 230 V~ / 50 Hz / 16 A / 3680 W teljesítményű, így képes kiszolgálni a legtöbb háztartási készüléket.
Válassza a Home NVT 6K/BK túlfeszültségvédett hálózati elosztót, és biztosítsa készülékeinek hosszú élettartamát és zavartalan működését! Szerezze be most, és élvezze a biztonságot és a kényelmet, amit ez az elosztó nyújt!</t>
        </is>
      </c>
    </row>
    <row r="1023">
      <c r="A1023" s="3" t="inlineStr">
        <is>
          <t>NV 14-3/WH/1,5</t>
        </is>
      </c>
      <c r="B1023" s="2" t="inlineStr">
        <is>
          <t>Home NV 14-3/WH/1,5 hálózati elosztó, 3 m, H05VV-F 3G1,5 mm2 kábel, IP 20 kivitel, 2 védőérintkezős és 2 euro aljzat, max. 3500W, fehér</t>
        </is>
      </c>
      <c r="C1023" s="1" t="n">
        <v>2590.0</v>
      </c>
      <c r="D1023" s="7" t="n">
        <f>HYPERLINK("https://www.somogyi.hu/product/home-nv-14-3-wh-1-5-halozati-eloszto-3-m-h05vv-f-3g1-5-mm2-kabel-ip-20-kivitel-2-vedoerintkezos-es-2-euro-aljzat-max-3500w-feher-nv-14-3-wh-1-5-17145","https://www.somogyi.hu/product/home-nv-14-3-wh-1-5-halozati-eloszto-3-m-h05vv-f-3g1-5-mm2-kabel-ip-20-kivitel-2-vedoerintkezos-es-2-euro-aljzat-max-3500w-feher-nv-14-3-wh-1-5-17145")</f>
        <v>0.0</v>
      </c>
      <c r="E1023" s="7" t="n">
        <f>HYPERLINK("https://www.somogyi.hu/data/img/product_main_images/small/17145.jpg","https://www.somogyi.hu/data/img/product_main_images/small/17145.jpg")</f>
        <v>0.0</v>
      </c>
      <c r="F1023" s="2" t="inlineStr">
        <is>
          <t>5999084951771</t>
        </is>
      </c>
      <c r="G1023" s="4" t="inlineStr">
        <is>
          <t>Keres egy praktikus és megbízható hálózati elosztót, amely biztonságos használatot és kényelmes hosszúságot kínál?
A Home NV 14-3/WH/1,5 hálózati elosztó tökéletes megoldást nyújt otthoni és irodai felhasználásra egyaránt. Ez a 3 méter hosszú kábellel ellátott elosztó biztosítja, hogy kényelmesen csatlakoztathassa elektromos készülékeit, még távolabb lévő konnektorokhoz is. A maximális teljesítménye 3500 W, így nagyobb áramfogyasztású eszközök működtetésére is alkalmas.
Kiváló teljesítmény és biztonság
Az elosztó 2 védőérintkezős aljzattal és 2 euro aljzattal rendelkezik, így különféle dugókhoz használható. A gyermekvédelemmel ellátott aljzatok gondoskodnak a biztonságról, különösen kisgyermekes környezetben. A H05VV-F 3G1,5 mm² keresztmetszetű kábel biztosítja a megfelelő vezetőképességet és terhelhetőséget, így a készülék hosszú távon is megbízható marad.
Tartós és praktikus kialakítás
Az elosztó fehér színű, egyszerű és letisztult megjelenése bármilyen környezetbe illeszkedik. Az IP20 kivitel azt jelenti, hogy beltéri használatra alkalmas, és megfelelően védett az érintés ellen. A 250 V~ / 16 A névleges feszültség és áramerősség garantálja a zavartalan működést.
Főbb jellemzők áttekintése:
– 4 aljzat, ebből 2 védőérintkezős és 2 euro aljzat 
– Gyermekvédelemmel ellátott aljzatok a maximális biztonságért 
– 3 méter hosszú, H05VV-F 3G1,5 mm² kábel 
– 3500 W maximális teljesítmény, alkalmas nagyobb áramigényű eszközökhöz 
– IP20 védelem, beltéri használatra tervezve 
– Fehér színű, esztétikus kialakítás
Miért válassza a Home NV 14-3/WH/1,5 hálózati elosztót?
Ez az elosztó nemcsak praktikus megoldás készülékei csatlakoztatására, hanem biztonságos is, köszönhetően a gyermekvédelemmel ellátott aljzatoknak. A hosszú, 3 méteres kábel rugalmasságot nyújt, hogy ne legyen szükség további hosszabbítókra. Használja otthonában vagy irodájában, és élvezze a megbízható áramellátást minden eszközéhez!
Válassza a Home NV 14-3/WH/1,5 hálózati elosztót, ha egy tartós, biztonságos és esztétikus megoldásra van szüksége elektromos készülékei számára!</t>
        </is>
      </c>
    </row>
    <row r="1024">
      <c r="A1024" s="3" t="inlineStr">
        <is>
          <t>NVT 4K/BK</t>
        </is>
      </c>
      <c r="B1024" s="2" t="inlineStr">
        <is>
          <t>Home NVT 4K/BK túlfeszültségvédett hálózati elosztó, 1,5 m, H05VV-F 3G1,0 mm2 kábel, 4 aljzat gyermekvédelemmel, kapcsoló, felakasztható, max. 3680W, fekete</t>
        </is>
      </c>
      <c r="C1024" s="1" t="n">
        <v>5490.0</v>
      </c>
      <c r="D1024" s="7" t="n">
        <f>HYPERLINK("https://www.somogyi.hu/product/home-nvt-4k-bk-tulfeszultsegvedett-halozati-eloszto-1-5-m-h05vv-f-3g1-0-mm2-kabel-4-aljzat-gyermekvedelemmel-kapcsolo-felakaszthato-max-3680w-fekete-nvt-4k-bk-17068","https://www.somogyi.hu/product/home-nvt-4k-bk-tulfeszultsegvedett-halozati-eloszto-1-5-m-h05vv-f-3g1-0-mm2-kabel-4-aljzat-gyermekvedelemmel-kapcsolo-felakaszthato-max-3680w-fekete-nvt-4k-bk-17068")</f>
        <v>0.0</v>
      </c>
      <c r="E1024" s="7" t="n">
        <f>HYPERLINK("https://www.somogyi.hu/data/img/product_main_images/small/17068.jpg","https://www.somogyi.hu/data/img/product_main_images/small/17068.jpg")</f>
        <v>0.0</v>
      </c>
      <c r="F1024" s="2" t="inlineStr">
        <is>
          <t>5999084951009</t>
        </is>
      </c>
      <c r="G1024" s="4" t="inlineStr">
        <is>
          <t>Túlfeszültségvédett NVT 4K/BK elosztó tökéletes választás háztartási kisgépek használata során. Kamrában, nyári konyhában, barkács műhelyben akár felakasztva 4 védőzsaluval ellátott aljzat használható egyidejűleg. Világító főkapcsoló jelzi az üzemkész állapotot.</t>
        </is>
      </c>
    </row>
    <row r="1025">
      <c r="A1025" s="3" t="inlineStr">
        <is>
          <t>NV 06TK/WH</t>
        </is>
      </c>
      <c r="B1025" s="2" t="inlineStr">
        <is>
          <t>Home NV 06TK/WH talpkapcsolós elosztó világító kapcsolóval, 1,5 m, H05VV-F 3G1,0 mm2 kábel, 6 aljzat gyermekvédelemmel, max. 3500W, fehér</t>
        </is>
      </c>
      <c r="C1025" s="1" t="n">
        <v>3490.0</v>
      </c>
      <c r="D1025" s="7" t="n">
        <f>HYPERLINK("https://www.somogyi.hu/product/home-nv-06tk-wh-talpkapcsolos-eloszto-vilagito-kapcsoloval-1-5-m-h05vv-f-3g1-0-mm2-kabel-6-aljzat-gyermekvedelemmel-max-3500w-feher-nv-06tk-wh-15377","https://www.somogyi.hu/product/home-nv-06tk-wh-talpkapcsolos-eloszto-vilagito-kapcsoloval-1-5-m-h05vv-f-3g1-0-mm2-kabel-6-aljzat-gyermekvedelemmel-max-3500w-feher-nv-06tk-wh-15377")</f>
        <v>0.0</v>
      </c>
      <c r="E1025" s="7" t="n">
        <f>HYPERLINK("https://www.somogyi.hu/data/img/product_main_images/small/15377.jpg","https://www.somogyi.hu/data/img/product_main_images/small/15377.jpg")</f>
        <v>0.0</v>
      </c>
      <c r="F1025" s="2" t="inlineStr">
        <is>
          <t>5999084934118</t>
        </is>
      </c>
      <c r="G1025" s="4" t="inlineStr">
        <is>
          <t>NV 06TK/WH típusú talpkapcsolós elosztó világító kapcsolóval van ellátva. A hat aljzathoz 1,5 méteres kábel tartozik. A termék előnye, hogy a hatodik aljzat külön található, hogy kényelmesen elférjen pl. egy adapter. Válassza a minőségi termékeket és rendeljen webáruházunkból!</t>
        </is>
      </c>
    </row>
    <row r="1026">
      <c r="A1026" s="3" t="inlineStr">
        <is>
          <t>NV 3K-5/GR/1,5</t>
        </is>
      </c>
      <c r="B1026" s="2" t="inlineStr">
        <is>
          <t>Home NV 3K-5/GR/1,5 hálózati elosztó, 5 m, H05VV-F 3G1,5 mm2 kábel, kétpólusú kapcsoló, IP20 kivitel, 3 védőérintkezős aljzat, max. 3500W, zöld</t>
        </is>
      </c>
      <c r="C1026" s="1" t="n">
        <v>4290.0</v>
      </c>
      <c r="D1026" s="7" t="n">
        <f>HYPERLINK("https://www.somogyi.hu/product/home-nv-3k-5-gr-1-5-halozati-eloszto-5-m-h05vv-f-3g1-5-mm2-kabel-ketpolusu-kapcsolo-ip20-kivitel-3-vedoerintkezos-aljzat-max-3500w-zold-nv-3k-5-gr-1-5-17136","https://www.somogyi.hu/product/home-nv-3k-5-gr-1-5-halozati-eloszto-5-m-h05vv-f-3g1-5-mm2-kabel-ketpolusu-kapcsolo-ip20-kivitel-3-vedoerintkezos-aljzat-max-3500w-zold-nv-3k-5-gr-1-5-17136")</f>
        <v>0.0</v>
      </c>
      <c r="E1026" s="7" t="n">
        <f>HYPERLINK("https://www.somogyi.hu/data/img/product_main_images/small/17136.jpg","https://www.somogyi.hu/data/img/product_main_images/small/17136.jpg")</f>
        <v>0.0</v>
      </c>
      <c r="F1026" s="2" t="inlineStr">
        <is>
          <t>5999084951689</t>
        </is>
      </c>
      <c r="G1026" s="4" t="inlineStr">
        <is>
          <t>Az NV 3K-5/GR/1,5 Kapcsolós hálózati elosztó 3 db aljzattal ellátott, melyet egy fő kapcsolóval áramtalanítani tud. A biztonságos használat érdekében IP 20 védelemmel és gyermekvédelemmel ellátott. A zöld színű elosztó 5 m hosszú H05VV-F 3G1,5 mm2 kábellel felszerelt. Maximum 3500 W-ig terhelhető. 
Vásároljon megbízható hálózati elosztót!</t>
        </is>
      </c>
    </row>
    <row r="1027">
      <c r="A1027" s="3" t="inlineStr">
        <is>
          <t>NV 4K-3/WH/1,5</t>
        </is>
      </c>
      <c r="B1027" s="2" t="inlineStr">
        <is>
          <t>Home NV 4K-3/WH/1,5 hálózati elosztó, 3 m, H05VV-F 3G1,5 mm2 kábel, kétpólusú kapcsoló, IP20 kivitel, 4 védőérintkezős aljzat, max. 3500W, fehér</t>
        </is>
      </c>
      <c r="C1027" s="1" t="n">
        <v>3290.0</v>
      </c>
      <c r="D1027" s="7" t="n">
        <f>HYPERLINK("https://www.somogyi.hu/product/home-nv-4k-3-wh-1-5-halozati-eloszto-3-m-h05vv-f-3g1-5-mm2-kabel-ketpolusu-kapcsolo-ip20-kivitel-4-vedoerintkezos-aljzat-max-3500w-feher-nv-4k-3-wh-1-5-17137","https://www.somogyi.hu/product/home-nv-4k-3-wh-1-5-halozati-eloszto-3-m-h05vv-f-3g1-5-mm2-kabel-ketpolusu-kapcsolo-ip20-kivitel-4-vedoerintkezos-aljzat-max-3500w-feher-nv-4k-3-wh-1-5-17137")</f>
        <v>0.0</v>
      </c>
      <c r="E1027" s="7" t="n">
        <f>HYPERLINK("https://www.somogyi.hu/data/img/product_main_images/small/17137.jpg","https://www.somogyi.hu/data/img/product_main_images/small/17137.jpg")</f>
        <v>0.0</v>
      </c>
      <c r="F1027" s="2" t="inlineStr">
        <is>
          <t>5999084951696</t>
        </is>
      </c>
      <c r="G1027" s="4" t="inlineStr">
        <is>
          <t>Egy biztonságos és megbízható hálózati elosztót keres otthonába vagy irodájába? A Home NV 4K-3/WH/1,5 hálózati elosztó tökéletes megoldást nyújt, köszönhetően a gyermekvédelemmel ellátott aljzatoknak, amelyek biztosítják a kicsik biztonságát. 
Az IP20 kivitel és a H05VV-F 3G1,5 mm2 kábel garantálja a tartósságot és a megbízhatóságot. Ez az elosztó négy aljzattal rendelkezik, amelyek 250 V~ / 16 A / 3500 W teljesítményűek, így könnyedén csatlakoztathatja különböző elektromos eszközeit. A három méter hosszú kábel lehetővé teszi, hogy szabadon helyezze el a készüléket a kívánt helyen. A beépített kétpólusú kapcsolóval könnyedén ki- és bekapcsolhatja az elosztót, ami még kényelmesebbé teszi a használatát. Az elegáns fehér szín pedig bármilyen környezetbe tökéletesen illeszkedik.
Ne habozzon, válassza a Home NV 4K-3/WH/1,5 hálózati elosztót, és élvezze a biztonságos és kényelmes áramellátást minden nap!</t>
        </is>
      </c>
    </row>
    <row r="1028">
      <c r="A1028" s="3" t="inlineStr">
        <is>
          <t>NV 18/WH</t>
        </is>
      </c>
      <c r="B1028" s="2" t="inlineStr">
        <is>
          <t>Home NV 18/WH hálózati elosztó, 1,5 m, H05VV-F 3G1,0 mm2 kábel, IP 20 kivitel, 4 védőérintkezős és 4 euro aljzat, max. 3500W, fehér</t>
        </is>
      </c>
      <c r="C1028" s="1" t="n">
        <v>2290.0</v>
      </c>
      <c r="D1028" s="7" t="n">
        <f>HYPERLINK("https://www.somogyi.hu/product/home-nv-18-wh-halozati-eloszto-1-5-m-h05vv-f-3g1-0-mm2-kabel-ip-20-kivitel-4-vedoerintkezos-es-4-euro-aljzat-max-3500w-feher-nv-18-wh-2863","https://www.somogyi.hu/product/home-nv-18-wh-halozati-eloszto-1-5-m-h05vv-f-3g1-0-mm2-kabel-ip-20-kivitel-4-vedoerintkezos-es-4-euro-aljzat-max-3500w-feher-nv-18-wh-2863")</f>
        <v>0.0</v>
      </c>
      <c r="E1028" s="7" t="n">
        <f>HYPERLINK("https://www.somogyi.hu/data/img/product_main_images/small/02863.jpg","https://www.somogyi.hu/data/img/product_main_images/small/02863.jpg")</f>
        <v>0.0</v>
      </c>
      <c r="F1028" s="2" t="inlineStr">
        <is>
          <t>5998312731871</t>
        </is>
      </c>
      <c r="G1028" s="4" t="inlineStr">
        <is>
          <t>Az NV 18/WH Hálózati elosztó fehér színű, 4 db védőérintkezős aljzattal és 4 db euro aljzattal felszerelt, amelyhez 1,5 méter hosszú, H05VV-F 3G1,0 mm 2 kábel tartozik. A biztonságos használat érdekében gyermekvédelemmel ellátott. Maximum 3500 W-ig terhelhető.
Vásároljon megbízható hálózati elosztót és oldja meg egyszerűen elektromos eszközei tápellátását egy helyről.</t>
        </is>
      </c>
    </row>
    <row r="1029">
      <c r="A1029" s="3" t="inlineStr">
        <is>
          <t>NV 3/WH</t>
        </is>
      </c>
      <c r="B1029" s="2" t="inlineStr">
        <is>
          <t>Home NV 3/WH hálózati elosztó, 1,5 m, H05VV-F 3G1,0 mm2 kábel, IP20 kivitel, 3 védőérintkezős aljzat, max. 3500W, fehér</t>
        </is>
      </c>
      <c r="C1029" s="1" t="n">
        <v>1590.0</v>
      </c>
      <c r="D1029" s="7" t="n">
        <f>HYPERLINK("https://www.somogyi.hu/product/home-nv-3-wh-halozati-eloszto-1-5-m-h05vv-f-3g1-0-mm2-kabel-ip20-kivitel-3-vedoerintkezos-aljzat-max-3500w-feher-nv-3-wh-16798","https://www.somogyi.hu/product/home-nv-3-wh-halozati-eloszto-1-5-m-h05vv-f-3g1-0-mm2-kabel-ip20-kivitel-3-vedoerintkezos-aljzat-max-3500w-feher-nv-3-wh-16798")</f>
        <v>0.0</v>
      </c>
      <c r="E1029" s="7" t="n">
        <f>HYPERLINK("https://www.somogyi.hu/data/img/product_main_images/small/16798.jpg","https://www.somogyi.hu/data/img/product_main_images/small/16798.jpg")</f>
        <v>0.0</v>
      </c>
      <c r="F1029" s="2" t="inlineStr">
        <is>
          <t>5999084948306</t>
        </is>
      </c>
      <c r="G1029" s="4" t="inlineStr">
        <is>
          <t>Az NV 3/WH Hálózati elosztó fehér színű, 3 db aljzattal és 1,5 m hosszú H05VV-F 3G1,0 mm2 kábellel felszerelt. A biztonságos használat érdekében gyermekvédelemmel ellátott. Maximum 3500 W-ig terhelhető.
Vásároljon megbízható hálózati elosztót és oldja meg egyszerűen elektromos eszközei tápellátását egy helyről.</t>
        </is>
      </c>
    </row>
    <row r="1030">
      <c r="A1030" s="3" t="inlineStr">
        <is>
          <t>NV 3K/WH/1,5</t>
        </is>
      </c>
      <c r="B1030" s="2" t="inlineStr">
        <is>
          <t>Home NV 3K/WH/1,5 hálózati elosztó, 1,5 m, H05VV-F 3G1,5 mm2 kábel, kétpólusú kapcsoló, IP20 kivitel, 3 védőérintkezős aljzat, max. 3500W, fehér</t>
        </is>
      </c>
      <c r="C1030" s="1" t="n">
        <v>2190.0</v>
      </c>
      <c r="D1030" s="7" t="n">
        <f>HYPERLINK("https://www.somogyi.hu/product/home-nv-3k-wh-1-5-halozati-eloszto-1-5-m-h05vv-f-3g1-5-mm2-kabel-ketpolusu-kapcsolo-ip20-kivitel-3-vedoerintkezos-aljzat-max-3500w-feher-nv-3k-wh-1-5-16807","https://www.somogyi.hu/product/home-nv-3k-wh-1-5-halozati-eloszto-1-5-m-h05vv-f-3g1-5-mm2-kabel-ketpolusu-kapcsolo-ip20-kivitel-3-vedoerintkezos-aljzat-max-3500w-feher-nv-3k-wh-1-5-16807")</f>
        <v>0.0</v>
      </c>
      <c r="E1030" s="7" t="n">
        <f>HYPERLINK("https://www.somogyi.hu/data/img/product_main_images/small/16807.jpg","https://www.somogyi.hu/data/img/product_main_images/small/16807.jpg")</f>
        <v>0.0</v>
      </c>
      <c r="F1030" s="2" t="inlineStr">
        <is>
          <t>5999084948399</t>
        </is>
      </c>
      <c r="G1030" s="4" t="inlineStr">
        <is>
          <t>Az NV 3K/WH/1,5 Kapcsolós hálózati elosztó 3 db aljzattal ellátott, melyet egy fő kapcsolóval áramtalanítani tud. A biztonságos használat érdekében IP 20 védelemmel és gyermekvédelemmel ellátott. A fehér színű elosztó 1,5 m hosszú H05VV-F 3G1,5 mm2 kábellel felszerelt. 
Vásároljon megbízható hálózati elosztót!</t>
        </is>
      </c>
    </row>
    <row r="1031">
      <c r="A1031" s="3" t="inlineStr">
        <is>
          <t>NV 06TK-5/WH/1,5</t>
        </is>
      </c>
      <c r="B1031" s="2" t="inlineStr">
        <is>
          <t>Home NV 06TK-5/WH/1,5, talpkapcsolós elosztó világító kapcsolóval, 5 m, H05VV-F 3G1,5 mm2 kábel, 6 aljzat gyermekvédelemmel, max. 3500W, fehér</t>
        </is>
      </c>
      <c r="C1031" s="1" t="n">
        <v>6290.0</v>
      </c>
      <c r="D1031" s="7" t="n">
        <f>HYPERLINK("https://www.somogyi.hu/product/home-nv-06tk-5-wh-1-5-talpkapcsolos-eloszto-vilagito-kapcsoloval-5-m-h05vv-f-3g1-5-mm2-kabel-6-aljzat-gyermekvedelemmel-max-3500w-feher-nv-06tk-5-wh-1-5-17160","https://www.somogyi.hu/product/home-nv-06tk-5-wh-1-5-talpkapcsolos-eloszto-vilagito-kapcsoloval-5-m-h05vv-f-3g1-5-mm2-kabel-6-aljzat-gyermekvedelemmel-max-3500w-feher-nv-06tk-5-wh-1-5-17160")</f>
        <v>0.0</v>
      </c>
      <c r="E1031" s="7" t="n">
        <f>HYPERLINK("https://www.somogyi.hu/data/img/product_main_images/small/17160.jpg","https://www.somogyi.hu/data/img/product_main_images/small/17160.jpg")</f>
        <v>0.0</v>
      </c>
      <c r="F1031" s="2" t="inlineStr">
        <is>
          <t>5999084951924</t>
        </is>
      </c>
      <c r="G1031" s="4" t="inlineStr">
        <is>
          <t>NV 06TK-5/WH/1,5 típusú talpkapcsolós elosztó világító kapcsolóval van ellátva. A hat aljzathoz 5 méteres kábel tartozik. A termék előnye, hogy a hatodik aljzat külön található, hogy kényelmesen elférjen pl. egy adapter. Válassza a minőségi termékeket és rendeljen webáruházunkból!</t>
        </is>
      </c>
    </row>
    <row r="1032">
      <c r="A1032" s="3" t="inlineStr">
        <is>
          <t>NV 3K-3/BK/1,5</t>
        </is>
      </c>
      <c r="B1032" s="2" t="inlineStr">
        <is>
          <t>Home NV 3K-3/BK/1,5 hálózati elosztó, 3 m, H05VV-F 3G1,5 mm2 kábel, kétpólusú kapcsoló, IP20 kivitel, 3 védőérintkezős aljzat, max. 3500W, fekete</t>
        </is>
      </c>
      <c r="C1032" s="1" t="n">
        <v>3190.0</v>
      </c>
      <c r="D1032" s="7" t="n">
        <f>HYPERLINK("https://www.somogyi.hu/product/home-nv-3k-3-bk-1-5-halozati-eloszto-3-m-h05vv-f-3g1-5-mm2-kabel-ketpolusu-kapcsolo-ip20-kivitel-3-vedoerintkezos-aljzat-max-3500w-fekete-nv-3k-3-bk-1-5-17134","https://www.somogyi.hu/product/home-nv-3k-3-bk-1-5-halozati-eloszto-3-m-h05vv-f-3g1-5-mm2-kabel-ketpolusu-kapcsolo-ip20-kivitel-3-vedoerintkezos-aljzat-max-3500w-fekete-nv-3k-3-bk-1-5-17134")</f>
        <v>0.0</v>
      </c>
      <c r="E1032" s="7" t="n">
        <f>HYPERLINK("https://www.somogyi.hu/data/img/product_main_images/small/17134.jpg","https://www.somogyi.hu/data/img/product_main_images/small/17134.jpg")</f>
        <v>0.0</v>
      </c>
      <c r="F1032" s="2" t="inlineStr">
        <is>
          <t>5999084951665</t>
        </is>
      </c>
      <c r="G1032" s="4" t="inlineStr">
        <is>
          <t>Az NV 3K-3/BK/1,5 Kapcsolós hálózati elosztó 3 db aljzattal ellátott, melyet egy fő kapcsolóval áramtalanítani tud. A biztonságos használat érdekében IP 20 védelemmel és gyermekvédelemmel ellátott. A fekete színű elosztó 3 m hosszú H05VV-F 3G1,5 mm2 kábellel felszerelt. Maximum 3500 W-ig terhelhető. 
Vásároljon megbízható hálózati elosztót!</t>
        </is>
      </c>
    </row>
    <row r="1033">
      <c r="A1033" s="3" t="inlineStr">
        <is>
          <t>NV 6K-3/WH/1,5</t>
        </is>
      </c>
      <c r="B1033" s="2" t="inlineStr">
        <is>
          <t>Home NV 6K-3/WH/1,5 hálózati elosztó, 3 m, H05VV-F 3G1,5 mm2 kábel, kétpólusú kapcsoló, IP20 kivitel, 6 védőérintkezős aljzat, max. 3500W, fehér</t>
        </is>
      </c>
      <c r="C1033" s="1" t="n">
        <v>3590.0</v>
      </c>
      <c r="D1033" s="7" t="n">
        <f>HYPERLINK("https://www.somogyi.hu/product/home-nv-6k-3-wh-1-5-halozati-eloszto-3-m-h05vv-f-3g1-5-mm2-kabel-ketpolusu-kapcsolo-ip20-kivitel-6-vedoerintkezos-aljzat-max-3500w-feher-nv-6k-3-wh-1-5-16838","https://www.somogyi.hu/product/home-nv-6k-3-wh-1-5-halozati-eloszto-3-m-h05vv-f-3g1-5-mm2-kabel-ketpolusu-kapcsolo-ip20-kivitel-6-vedoerintkezos-aljzat-max-3500w-feher-nv-6k-3-wh-1-5-16838")</f>
        <v>0.0</v>
      </c>
      <c r="E1033" s="7" t="n">
        <f>HYPERLINK("https://www.somogyi.hu/data/img/product_main_images/small/16838.jpg","https://www.somogyi.hu/data/img/product_main_images/small/16838.jpg")</f>
        <v>0.0</v>
      </c>
      <c r="F1033" s="2" t="inlineStr">
        <is>
          <t>5999084948702</t>
        </is>
      </c>
      <c r="G1033" s="4" t="inlineStr">
        <is>
          <t>Az NV 6K-3/WH/1,5 Kapcsolós hálózati elosztó 6 db aljzattal ellátott, melyet egy fő kapcsolóval áramtalanítani tud. A biztonságos használat érdekében IP 20 védelemmel és gyermekvédelemmel ellátott. A fehér színű elosztó 3 m hosszú H05VV-F 3G1,5 mm2 kábellel felszerelt. Maximum 3500 W-ig terhelhető. 
Vásároljon megbízható hálózati elosztót!</t>
        </is>
      </c>
    </row>
    <row r="1034">
      <c r="A1034" s="3" t="inlineStr">
        <is>
          <t>NV 5K-3/WH/1,5</t>
        </is>
      </c>
      <c r="B1034" s="2" t="inlineStr">
        <is>
          <t>Home NV 5K-3/WH/1,5 hálózati elosztó, 3 m, H05VV-F 3G1,5 mm2 kábel, kétpólusú kapcsoló, IP20 kivitel, 5 védőérintkezős aljzat, max. 3500W, fehér</t>
        </is>
      </c>
      <c r="C1034" s="1" t="n">
        <v>3490.0</v>
      </c>
      <c r="D1034" s="7" t="n">
        <f>HYPERLINK("https://www.somogyi.hu/product/home-nv-5k-3-wh-1-5-halozati-eloszto-3-m-h05vv-f-3g1-5-mm2-kabel-ketpolusu-kapcsolo-ip20-kivitel-5-vedoerintkezos-aljzat-max-3500w-feher-nv-5k-3-wh-1-5-17138","https://www.somogyi.hu/product/home-nv-5k-3-wh-1-5-halozati-eloszto-3-m-h05vv-f-3g1-5-mm2-kabel-ketpolusu-kapcsolo-ip20-kivitel-5-vedoerintkezos-aljzat-max-3500w-feher-nv-5k-3-wh-1-5-17138")</f>
        <v>0.0</v>
      </c>
      <c r="E1034" s="7" t="n">
        <f>HYPERLINK("https://www.somogyi.hu/data/img/product_main_images/small/17138.jpg","https://www.somogyi.hu/data/img/product_main_images/small/17138.jpg")</f>
        <v>0.0</v>
      </c>
      <c r="F1034" s="2" t="inlineStr">
        <is>
          <t>5999084951702</t>
        </is>
      </c>
      <c r="G1034" s="4" t="inlineStr">
        <is>
          <t>Az NV 5K-3/WH/1,5 Kapcsolós hálózati elosztó 5 db aljzattal ellátott, melyet egy fő kapcsolóval áramtalanítani tud. A biztonságos használat érdekében IP 20 védelemmel és gyermekvédelemmel ellátott. A fehér színű elosztó 3 m hosszú H05VV-F 3G1,5 mm2 kábellel felszerelt. Maximum 3500 W-ig terhelhető. 
Vásároljon megbízható hálózati elosztót!</t>
        </is>
      </c>
    </row>
    <row r="1035">
      <c r="A1035" s="3" t="inlineStr">
        <is>
          <t>NV 3K-5/WH/1,5</t>
        </is>
      </c>
      <c r="B1035" s="2" t="inlineStr">
        <is>
          <t>Home NV 3K-5/WH/1,5 hálózati elosztó, 5 m, H05VV-F 3G1,5 mm2 kábel, kétpólusú kapcsoló, IP20 kivitel, 3 védőérintkezős aljzat, max. 3500W, fehér</t>
        </is>
      </c>
      <c r="C1035" s="1" t="n">
        <v>4290.0</v>
      </c>
      <c r="D1035" s="7" t="n">
        <f>HYPERLINK("https://www.somogyi.hu/product/home-nv-3k-5-wh-1-5-halozati-eloszto-5-m-h05vv-f-3g1-5-mm2-kabel-ketpolusu-kapcsolo-ip20-kivitel-3-vedoerintkezos-aljzat-max-3500w-feher-nv-3k-5-wh-1-5-16814","https://www.somogyi.hu/product/home-nv-3k-5-wh-1-5-halozati-eloszto-5-m-h05vv-f-3g1-5-mm2-kabel-ketpolusu-kapcsolo-ip20-kivitel-3-vedoerintkezos-aljzat-max-3500w-feher-nv-3k-5-wh-1-5-16814")</f>
        <v>0.0</v>
      </c>
      <c r="E1035" s="7" t="n">
        <f>HYPERLINK("https://www.somogyi.hu/data/img/product_main_images/small/16814.jpg","https://www.somogyi.hu/data/img/product_main_images/small/16814.jpg")</f>
        <v>0.0</v>
      </c>
      <c r="F1035" s="2" t="inlineStr">
        <is>
          <t>5999084948467</t>
        </is>
      </c>
      <c r="G1035" s="4" t="inlineStr">
        <is>
          <t>Az NV 3K-5/WH/1,5 Kapcsolós hálózati elosztó 3 db aljzattal ellátott, melyet egy fő kapcsolóval áramtalanítani tud. A biztonságos használat érdekében IP 20 védelemmel és gyermekvédelemmel ellátott. A fehér színű elosztó 5 m hosszú H05VV-F 3G1,5 mm2 kábellel felszerelt. Maximum 3500 W-ig terhelhető. 
Vásároljon megbízható hálózati elosztót!</t>
        </is>
      </c>
    </row>
    <row r="1036">
      <c r="A1036" s="3" t="inlineStr">
        <is>
          <t>NV 3K/WH</t>
        </is>
      </c>
      <c r="B1036" s="2" t="inlineStr">
        <is>
          <t>Home NV 3K/WH hálózati elosztó, 1,5 m, H05VV-F 3G1,0 mm2 kábel, kétpólusú kapcsoló, IP20 kivitel, 3 védőérintkezős aljzat, max. 3500W, fehér</t>
        </is>
      </c>
      <c r="C1036" s="1" t="n">
        <v>1890.0</v>
      </c>
      <c r="D1036" s="7" t="n">
        <f>HYPERLINK("https://www.somogyi.hu/product/home-nv-3k-wh-halozati-eloszto-1-5-m-h05vv-f-3g1-0-mm2-kabel-ketpolusu-kapcsolo-ip20-kivitel-3-vedoerintkezos-aljzat-max-3500w-feher-nv-3k-wh-16806","https://www.somogyi.hu/product/home-nv-3k-wh-halozati-eloszto-1-5-m-h05vv-f-3g1-0-mm2-kabel-ketpolusu-kapcsolo-ip20-kivitel-3-vedoerintkezos-aljzat-max-3500w-feher-nv-3k-wh-16806")</f>
        <v>0.0</v>
      </c>
      <c r="E1036" s="7" t="n">
        <f>HYPERLINK("https://www.somogyi.hu/data/img/product_main_images/small/16806.jpg","https://www.somogyi.hu/data/img/product_main_images/small/16806.jpg")</f>
        <v>0.0</v>
      </c>
      <c r="F1036" s="2" t="inlineStr">
        <is>
          <t>5999084948382</t>
        </is>
      </c>
      <c r="G1036" s="4" t="inlineStr">
        <is>
          <t>Az NV 3K/WH Kapcsolós hálózati elosztó 3 db aljzattal ellátott, melyet egy fő kapcsolóval áramtalanítani tud. A biztonságos használat érdekében IP 20 védelemmel és gyermekvédelemmel ellátott. A fehér színű elosztó 1,5 m hosszú H05VV-F 3G1,0 mm2 kábellel felszerelt. Maximum 3500 W-ig terhelhető.
Vásároljon megbízható hálózati elosztót!</t>
        </is>
      </c>
    </row>
    <row r="1037">
      <c r="A1037" s="3" t="inlineStr">
        <is>
          <t>NV 3-5/WH/1,5</t>
        </is>
      </c>
      <c r="B1037" s="2" t="inlineStr">
        <is>
          <t>Home NV 3-5/WH/1,5 hálózati elosztó, 5 m, H05VV-F 3G1,5 mm2 kábel,  IP20 kivitel, 3 védőérintkezős aljzat, max. 3500W, fehér</t>
        </is>
      </c>
      <c r="C1037" s="1" t="n">
        <v>3990.0</v>
      </c>
      <c r="D1037" s="7" t="n">
        <f>HYPERLINK("https://www.somogyi.hu/product/home-nv-3-5-wh-1-5-halozati-eloszto-5-m-h05vv-f-3g1-5-mm2-kabel-ip20-kivitel-3-vedoerintkezos-aljzat-max-3500w-feher-nv-3-5-wh-1-5-16804","https://www.somogyi.hu/product/home-nv-3-5-wh-1-5-halozati-eloszto-5-m-h05vv-f-3g1-5-mm2-kabel-ip20-kivitel-3-vedoerintkezos-aljzat-max-3500w-feher-nv-3-5-wh-1-5-16804")</f>
        <v>0.0</v>
      </c>
      <c r="E1037" s="7" t="n">
        <f>HYPERLINK("https://www.somogyi.hu/data/img/product_main_images/small/16804.jpg","https://www.somogyi.hu/data/img/product_main_images/small/16804.jpg")</f>
        <v>0.0</v>
      </c>
      <c r="F1037" s="2" t="inlineStr">
        <is>
          <t>5999084948368</t>
        </is>
      </c>
      <c r="G1037" s="4" t="inlineStr">
        <is>
          <t>Az NV 3-5/WH/1,5 Hálózati elosztó fehér színű, 3 db aljzattal és 5 m hosszú H05VV-F 3G1,5 mm2 kábellel felszerelt. A biztonságos használat érdekében gyermekvédelemmel ellátott. Maximum 3500 W-ig terhelhető.
Vásároljon megbízható hálózati elosztót és oldja meg egyszerűen elektromos eszközei tápellátását egy helyről.</t>
        </is>
      </c>
    </row>
    <row r="1038">
      <c r="A1038" s="3" t="inlineStr">
        <is>
          <t>NVT 6K-3/BK</t>
        </is>
      </c>
      <c r="B1038" s="2" t="inlineStr">
        <is>
          <t>Home NVT 6K-3/BK túlfeszültségvédett hálózati elosztó, 3 m, H05VV-F 3G1,5 mm2 kábel, 6 aljzat gyermekvédelemmel, kapcsoló, felakasztható, max. 3680W, fekete</t>
        </is>
      </c>
      <c r="C1038" s="1" t="n">
        <v>6990.0</v>
      </c>
      <c r="D1038" s="7" t="n">
        <f>HYPERLINK("https://www.somogyi.hu/product/home-nvt-6k-3-bk-tulfeszultsegvedett-halozati-eloszto-3-m-h05vv-f-3g1-5-mm2-kabel-6-aljzat-gyermekvedelemmel-kapcsolo-felakaszthato-max-3680w-fekete-nvt-6k-3-bk-17071","https://www.somogyi.hu/product/home-nvt-6k-3-bk-tulfeszultsegvedett-halozati-eloszto-3-m-h05vv-f-3g1-5-mm2-kabel-6-aljzat-gyermekvedelemmel-kapcsolo-felakaszthato-max-3680w-fekete-nvt-6k-3-bk-17071")</f>
        <v>0.0</v>
      </c>
      <c r="E1038" s="7" t="n">
        <f>HYPERLINK("https://www.somogyi.hu/data/img/product_main_images/small/17071.jpg","https://www.somogyi.hu/data/img/product_main_images/small/17071.jpg")</f>
        <v>0.0</v>
      </c>
      <c r="F1038" s="2" t="inlineStr">
        <is>
          <t>5999084951030</t>
        </is>
      </c>
      <c r="G1038" s="4" t="inlineStr">
        <is>
          <t>Szeretné megvédeni háztartási készülékeit a túlfeszültségtől? A Home NVT 6K/BK túlfeszültségvédett hálózati elosztó a megoldás!
Ez az elosztó 6 aljzattal rendelkezik, amelyek mindegyike védőzsaluval ellátott, így maximális biztonságot nyújt az elektromos berendezéseinek. A túlfeszültségvédelem 3 kV-ig terjed, így megóvja készülékeit a hirtelen áramingadozásoktól. A világító főkapcsoló segítségével könnyedén ellenőrizheti, hogy az elosztó be van-e kapcsolva, továbbá felakasztható vagy kábelkötegelővel is rögzíthető, így helytakarékosan használható.
Az elosztó 3 méteres H05VV-F 3G1,5 mm2 vezetékkel rendelkezik, amely rugalmasságot biztosít a csatlakoztatás során. 230 V~ / 50 Hz / 16 A / 3680 W teljesítményű, így képes kiszolgálni a legtöbb háztartási készüléket.
Válassza a Home NVT 6K/BK túlfeszültségvédett hálózati elosztót, és biztosítsa készülékeinek hosszú élettartamát és zavartalan működését! Szerezze be most, és élvezze a biztonságot és a kényelmet, amit ez az elosztó nyújt!</t>
        </is>
      </c>
    </row>
    <row r="1039">
      <c r="A1039" s="6" t="inlineStr">
        <is>
          <t xml:space="preserve">   Világítás / LED fényforrás, kompakt fénycső, halogén izzó</t>
        </is>
      </c>
      <c r="B1039" s="6" t="inlineStr">
        <is>
          <t/>
        </is>
      </c>
      <c r="C1039" s="6" t="inlineStr">
        <is>
          <t/>
        </is>
      </c>
      <c r="D1039" s="6" t="inlineStr">
        <is>
          <t/>
        </is>
      </c>
      <c r="E1039" s="6" t="inlineStr">
        <is>
          <t/>
        </is>
      </c>
      <c r="F1039" s="6" t="inlineStr">
        <is>
          <t/>
        </is>
      </c>
      <c r="G1039" s="6" t="inlineStr">
        <is>
          <t/>
        </is>
      </c>
    </row>
    <row r="1040">
      <c r="A1040" s="3" t="inlineStr">
        <is>
          <t>LS 5000SOUND</t>
        </is>
      </c>
      <c r="B1040" s="2" t="inlineStr">
        <is>
          <t>Home LS 5000SOUND zenére villogó RGB LED szalag szett, 30 db SMD 5050 LED/m, ragasztható, 5m, 400 lm/m, 4,8 W/m</t>
        </is>
      </c>
      <c r="C1040" s="1" t="n">
        <v>10590.0</v>
      </c>
      <c r="D1040" s="7" t="n">
        <f>HYPERLINK("https://www.somogyi.hu/product/home-ls-5000sound-zenere-villogo-rgb-led-szalag-szett-30-db-smd-5050-led-m-ragaszthato-5m-400-lm-m-4-8-w-m-ls-5000sound-16959","https://www.somogyi.hu/product/home-ls-5000sound-zenere-villogo-rgb-led-szalag-szett-30-db-smd-5050-led-m-ragaszthato-5m-400-lm-m-4-8-w-m-ls-5000sound-16959")</f>
        <v>0.0</v>
      </c>
      <c r="E1040" s="7" t="n">
        <f>HYPERLINK("https://www.somogyi.hu/data/img/product_main_images/small/16959.jpg","https://www.somogyi.hu/data/img/product_main_images/small/16959.jpg")</f>
        <v>0.0</v>
      </c>
      <c r="F1040" s="2" t="inlineStr">
        <is>
          <t>5999084949914</t>
        </is>
      </c>
      <c r="G1040" s="4" t="inlineStr">
        <is>
          <t>A zenére villogó LED RGB szalag szett 150 LED –et tartalmaz 5 m hosszban, amely beépített kondenzátor mikrofon vezérléssel zene ütemére villogó fényeffekt hoz létre.
A mellékelt távirányítón tetszés szerint kiválaszthatók a színek, az igényeknek megfelelően állítható a fényerő és többféle világítási effekt kínálata kapcsolható.
Széleskörű alkalmazási területet ölel fel, olyan kiváló dekorációs hatást érünk el vele konyhabútoroknál, hálószobában, nappaliban, felhasználási körének csak a képzeletünk szab határt.</t>
        </is>
      </c>
    </row>
    <row r="1041">
      <c r="A1041" s="3" t="inlineStr">
        <is>
          <t>LS 5000RGB</t>
        </is>
      </c>
      <c r="B1041" s="2" t="inlineStr">
        <is>
          <t>Home LS 5000RGB RGB LED szalag szett, 30 db SMD 5050 LED/m, ragasztható, 5m, 400 lm/m, 4,8 W/m</t>
        </is>
      </c>
      <c r="C1041" s="1" t="n">
        <v>9590.0</v>
      </c>
      <c r="D1041" s="7" t="n">
        <f>HYPERLINK("https://www.somogyi.hu/product/home-ls-5000rgb-rgb-led-szalag-szett-30-db-smd-5050-led-m-ragaszthato-5m-400-lm-m-4-8-w-m-ls-5000rgb-16958","https://www.somogyi.hu/product/home-ls-5000rgb-rgb-led-szalag-szett-30-db-smd-5050-led-m-ragaszthato-5m-400-lm-m-4-8-w-m-ls-5000rgb-16958")</f>
        <v>0.0</v>
      </c>
      <c r="E1041" s="7" t="n">
        <f>HYPERLINK("https://www.somogyi.hu/data/img/product_main_images/small/16958.jpg","https://www.somogyi.hu/data/img/product_main_images/small/16958.jpg")</f>
        <v>0.0</v>
      </c>
      <c r="F1041" s="2" t="inlineStr">
        <is>
          <t>5999084949907</t>
        </is>
      </c>
      <c r="G1041" s="4" t="inlineStr">
        <is>
          <t>Az RGB LED szalag szett 150 LED –et tartalmaz 5 m hosszban.
A mellékelt távirányítón tetszés szerint kiválaszthatók a színek, az igényeknek megfelelően állítható a fényerő és többféle világítási effekt kínálata kapcsolható.
Széleskörű alkalmazási területet ölel fel, olyan kiváló dekorációs hatást érünk el vele konyhabútoroknál, hálószobában, nappaliban, felhasználási körének csak a képzelete szab határt.</t>
        </is>
      </c>
    </row>
    <row r="1042">
      <c r="A1042" s="3" t="inlineStr">
        <is>
          <t>CONVEX-6 4200K / GU10</t>
        </is>
      </c>
      <c r="B1042" s="2" t="inlineStr">
        <is>
          <t>HOROZ CONVEX-6 4200K / GU10 LED fényforrás, 6 W, 510 lm, GU10, 4200 K</t>
        </is>
      </c>
      <c r="C1042" s="1" t="n">
        <v>789.0</v>
      </c>
      <c r="D1042" s="7" t="n">
        <f>HYPERLINK("https://www.somogyi.hu/product/horoz-convex-6-4200k-gu10-led-fenyforras-6-w-510-lm-gu10-4200-k-convex-6-4200k-gu10-19022","https://www.somogyi.hu/product/horoz-convex-6-4200k-gu10-led-fenyforras-6-w-510-lm-gu10-4200-k-convex-6-4200k-gu10-19022")</f>
        <v>0.0</v>
      </c>
      <c r="E1042" s="7" t="n">
        <f>HYPERLINK("https://www.somogyi.hu/data/img/product_main_images/small/19022.jpg","https://www.somogyi.hu/data/img/product_main_images/small/19022.jpg")</f>
        <v>0.0</v>
      </c>
      <c r="F1042" s="2" t="inlineStr">
        <is>
          <t>8680985579740</t>
        </is>
      </c>
      <c r="G1042" s="4" t="inlineStr">
        <is>
          <t>Szeretné energiatakarékosan megvilágítani otthonát anélkül, hogy a fényerőn spórolna? A Home PLUS-6 GU10 LED fényforrás a tökéletes megoldás, amely ötvözi a modern technológiát a kiváló teljesítménnyel. 
Ez a 6 wattos SMD LED technológiával készült izzó 510 lumenes fényáramot biztosít, amely ideális választás minden olyan helyiségbe, ahol fontos a tiszta, természetes fény. A 4200 Kelvin színhőmérsékletű fényforrás kellemes, neutrális fehér fényt ad, amely tökéletesen megvilágítja a munkaterületet, miközben nem fárasztja a szemet. A GU10 foglalatnak köszönhetően a fényforrás könnyedén cserélhető és illeszkedik a legtöbb modern világítótestbe. 
A Home PLUS-6 LED izzó energiahatékonysági besorolása „F”, és súlyozott energiafogyasztása mindössze 6 kWh/1000 óra, ami jelentős energiamegtakarítást eredményez hagyományos izzókhoz képest. Ráadásul a fényforrás élettartama eléri a 25 000 órát, így hosszú távon megbízható és gazdaságos megoldást kínál. A Home PLUS-6 LED fényforrás feszültségtartománya 100-250 V~, így stabil teljesítményt nyújt bármilyen elektromos hálózatban. 
A termékhez tartozó energiacímke 1:1 méretben letölthető a weboldal „Letölthető tartalmak” menüpontjában, ami segíti a vásárlókat a tájékozott döntéshozatalban.
Ne hagyja, hogy a régi, energiafaló izzók tovább terheljék a villanyszámláját! Válassza a Home PLUS-6 GU10 LED fényforrást, és élvezze a modern világítás előnyeit alacsonyabb költségek mellett!</t>
        </is>
      </c>
    </row>
    <row r="1043">
      <c r="A1043" s="3" t="inlineStr">
        <is>
          <t>ELITE-6 E14 4200K</t>
        </is>
      </c>
      <c r="B1043" s="2" t="inlineStr">
        <is>
          <t>Home ELITE-6 E14 4200K LED fényforrás, 6 W, 510 lm, E14, 4200 K</t>
        </is>
      </c>
      <c r="C1043" s="1" t="n">
        <v>699.0</v>
      </c>
      <c r="D1043" s="7" t="n">
        <f>HYPERLINK("https://www.somogyi.hu/product/home-elite-6-e14-4200k-led-fenyforras-6-w-510-lm-e14-4200-k-elite-6-e14-4200k-15020","https://www.somogyi.hu/product/home-elite-6-e14-4200k-led-fenyforras-6-w-510-lm-e14-4200-k-elite-6-e14-4200k-15020")</f>
        <v>0.0</v>
      </c>
      <c r="E1043" s="7" t="n">
        <f>HYPERLINK("https://www.somogyi.hu/data/img/product_main_images/small/15020.jpg","https://www.somogyi.hu/data/img/product_main_images/small/15020.jpg")</f>
        <v>0.0</v>
      </c>
      <c r="F1043" s="2" t="inlineStr">
        <is>
          <t>8680985519203</t>
        </is>
      </c>
      <c r="G1043" s="4" t="inlineStr">
        <is>
          <t>A Horoz ELITE-6 E14 4200K LED fényforrás kiváló fényerejét az SMD LED technológia garantálja. Élettartama rendkívül magas, akár 25.000 órán át üzemel. A LED izzó A+ energiahatékonysági osztályba tartozik. 
A termék teljesítménye: 6 W. Színhőmérséklete: 4200 K. Fényerőssége: 480 lm.
Foglalatának típusa: E14.
Válasszon környezettudatosan LED fényforrást, mellyel energiát spórolhat meg!</t>
        </is>
      </c>
    </row>
    <row r="1044">
      <c r="A1044" s="3" t="inlineStr">
        <is>
          <t>ULTRA-6 4200K</t>
        </is>
      </c>
      <c r="B1044" s="2" t="inlineStr">
        <is>
          <t>Home ULTRA-6 4200K LED fényforrás, 6 W, E14, 4200 K</t>
        </is>
      </c>
      <c r="C1044" s="1" t="n">
        <v>829.0</v>
      </c>
      <c r="D1044" s="7" t="n">
        <f>HYPERLINK("https://www.somogyi.hu/product/home-ultra-6-4200k-led-fenyforras-6-w-e14-4200-k-ultra-6-4200k-15018","https://www.somogyi.hu/product/home-ultra-6-4200k-led-fenyforras-6-w-e14-4200-k-ultra-6-4200k-15018")</f>
        <v>0.0</v>
      </c>
      <c r="E1044" s="7" t="n">
        <f>HYPERLINK("https://www.somogyi.hu/data/img/product_main_images/small/15018.jpg","https://www.somogyi.hu/data/img/product_main_images/small/15018.jpg")</f>
        <v>0.0</v>
      </c>
      <c r="F1044" s="2" t="inlineStr">
        <is>
          <t>8680985533414</t>
        </is>
      </c>
      <c r="G1044" s="4" t="inlineStr">
        <is>
          <t>A Horoz ULTRA-6 4200K LED fényforrás kiváló fényerejét az SMD LED technológia garantálja. Élettartama rendkívül magas, akár 25.000 órán át üzemel. A LED gyertya izzó A+ energiahatékonysági osztályba tartozik. 
A termék teljesítménye: 6 W. Színhőmérséklete: 4200 K. Fényerőssége: 480 lm.
Foglalatának típusa: E14.
Válasszon környezettudatosan LED fényforrást, mellyel energiát spórolhat meg!</t>
        </is>
      </c>
    </row>
    <row r="1045">
      <c r="A1045" s="6" t="inlineStr">
        <is>
          <t xml:space="preserve">   Világítás / Napelemes világítás</t>
        </is>
      </c>
      <c r="B1045" s="6" t="inlineStr">
        <is>
          <t/>
        </is>
      </c>
      <c r="C1045" s="6" t="inlineStr">
        <is>
          <t/>
        </is>
      </c>
      <c r="D1045" s="6" t="inlineStr">
        <is>
          <t/>
        </is>
      </c>
      <c r="E1045" s="6" t="inlineStr">
        <is>
          <t/>
        </is>
      </c>
      <c r="F1045" s="6" t="inlineStr">
        <is>
          <t/>
        </is>
      </c>
      <c r="G1045" s="6" t="inlineStr">
        <is>
          <t/>
        </is>
      </c>
    </row>
    <row r="1046">
      <c r="A1046" s="3" t="inlineStr">
        <is>
          <t>MX649M</t>
        </is>
      </c>
      <c r="B1046" s="2" t="inlineStr">
        <is>
          <t>Home MX649M napelemes kerti lámpa, macska villanykörtével, 1 db melegfehér filament LED, 300 mAh akkumulátor, 625 g, műgyanta</t>
        </is>
      </c>
      <c r="C1046" s="1" t="n">
        <v>6590.0</v>
      </c>
      <c r="D1046" s="7" t="n">
        <f>HYPERLINK("https://www.somogyi.hu/product/home-mx649m-napelemes-kerti-lampa-macska-villanykortevel-1-db-melegfeher-filament-led-300-mah-akkumulator-625-g-mugyanta-mx649m-19018","https://www.somogyi.hu/product/home-mx649m-napelemes-kerti-lampa-macska-villanykortevel-1-db-melegfeher-filament-led-300-mah-akkumulator-625-g-mugyanta-mx649m-19018")</f>
        <v>0.0</v>
      </c>
      <c r="E1046" s="7" t="n">
        <f>HYPERLINK("https://www.somogyi.hu/data/img/product_main_images/small/19018.jpg","https://www.somogyi.hu/data/img/product_main_images/small/19018.jpg")</f>
        <v>0.0</v>
      </c>
      <c r="F1046" s="2" t="inlineStr">
        <is>
          <t>5999084970123</t>
        </is>
      </c>
      <c r="G1046" s="4" t="inlineStr">
        <is>
          <t>Szeretne olyan környezetbarát világítást, amely stílust is ad a kertjének? A Home MX649M napelemes kerti lámpa tökéletes választás a hangulatos és energiatakarékos kültéri megvilágításhoz.
A macskás lámpa egy melegfehér filament LED-et tartalmaz, amely kellemes fényt biztosít az esti órákban. Beépített 1,2V-os, 300mAh-s akkumulátorral működik, amely nappal feltöltődik a napenergia segítségével, így éjjel automatikusan bekapcsol. A be/ki kapcsoló lehetőséget nyújt a manuális vezérlésre. Az erős műgyanta anyag biztosítja a lámpa tartósságát és ellenállóságát az időjárási viszontagságokkal szemben. Kompakt mérete (26x12,5x15,5cm) és súlya (625g) tökéletes választás bármilyen kültéri környezetbe.
Frissítse kertjét ezzel a praktikus, dekoratív megoldással, és élvezze a meleg, hangulatos fényt!</t>
        </is>
      </c>
    </row>
    <row r="1047">
      <c r="A1047" s="3" t="inlineStr">
        <is>
          <t>MX 642</t>
        </is>
      </c>
      <c r="B1047" s="2" t="inlineStr">
        <is>
          <t>Home MX 642 napelemes kerti lámpa, 8 db SMD LED, automatikus, napelemes, akkumulátoros, 2 db</t>
        </is>
      </c>
      <c r="C1047" s="1" t="n">
        <v>6390.0</v>
      </c>
      <c r="D1047" s="7" t="n">
        <f>HYPERLINK("https://www.somogyi.hu/product/home-mx-642-napelemes-kerti-lampa-8-db-smd-led-automatikus-napelemes-akkumulatoros-2-db-mx-642-17604","https://www.somogyi.hu/product/home-mx-642-napelemes-kerti-lampa-8-db-smd-led-automatikus-napelemes-akkumulatoros-2-db-mx-642-17604")</f>
        <v>0.0</v>
      </c>
      <c r="E1047" s="7" t="n">
        <f>HYPERLINK("https://www.somogyi.hu/data/img/product_main_images/small/17604.jpg","https://www.somogyi.hu/data/img/product_main_images/small/17604.jpg")</f>
        <v>0.0</v>
      </c>
      <c r="F1047" s="2" t="inlineStr">
        <is>
          <t>5999084956264</t>
        </is>
      </c>
      <c r="G1047" s="4" t="inlineStr">
        <is>
          <t>Tegye kertjét vagy teraszát még varázslatosabbá béka formájú napelemes kerti lámpával!
Kiváló minőségű kivitelének és praktikus funkcióinak köszönhetően nemcsak dekoratív, hanem energiahatékony megoldást is nyújt. 
Időjárásnak ellenálló kivitelben készült, mely biztosítja, hogy a lámpa hosszú távon is kiválóan használható esős és napos időben egyaránt. 
Fényét 1 db melegfehér LED adja, amely kellemes, lágy fényével hangulatos atmoszférát teremt.
A lámpa beépített fényérzékelővel rendelkezik, ami lehetővé teszi az automatikus be- és kikapcsolást. 
A kerti lámpába épített napelem és akkumulátor töltő nappal töltődik, éjjel világít. Akkumulátora 1,2 V / 200 mAh, AA, cserélhető.</t>
        </is>
      </c>
    </row>
    <row r="1048">
      <c r="A1048" s="3" t="inlineStr">
        <is>
          <t>MX 637</t>
        </is>
      </c>
      <c r="B1048" s="2" t="inlineStr">
        <is>
          <t>Home MX 637 napelemes kerti lámpa, 1 db melegfehér LED, automatikus, napelem, bagoly</t>
        </is>
      </c>
      <c r="C1048" s="1" t="n">
        <v>6390.0</v>
      </c>
      <c r="D1048" s="7" t="n">
        <f>HYPERLINK("https://www.somogyi.hu/product/home-mx-637-napelemes-kerti-lampa-1-db-melegfeher-led-automatikus-napelem-bagoly-mx-637-17603","https://www.somogyi.hu/product/home-mx-637-napelemes-kerti-lampa-1-db-melegfeher-led-automatikus-napelem-bagoly-mx-637-17603")</f>
        <v>0.0</v>
      </c>
      <c r="E1048" s="7" t="n">
        <f>HYPERLINK("https://www.somogyi.hu/data/img/product_main_images/small/17603.jpg","https://www.somogyi.hu/data/img/product_main_images/small/17603.jpg")</f>
        <v>0.0</v>
      </c>
      <c r="F1048" s="2" t="inlineStr">
        <is>
          <t>5999084956257</t>
        </is>
      </c>
      <c r="G1048" s="4" t="inlineStr">
        <is>
          <t>Tegye kertjét vagy teraszát még varázslatosabbá napelemes kerti lámpánkkal. Kiváló minőségű kivitelének és praktikus funkcióinak köszönhetően nemcsak dekoratív, hanem energiahatékony megoldást is nyújt. Időjárásnak ellenálló kivitelben készült, mely biztosítja, hogy a lámpa hosszú távon is kiválóan használható esős és napos időben egyaránt. Fényét 1 db fehér LED adja, amely kellemes, lágy fényével hangulatos atmoszférát teremt. A lámpa beépített fényérzékelővel rendelkezik, ami lehetővé teszi az automatikus be- és kikapcsolást. A kerti lámpába épített napelem és akkumulátor töltő nappal töltődik, éjjel világít. Akkumulátora 1,2 V / 100 mAh, AAA, cserélhető.</t>
        </is>
      </c>
    </row>
    <row r="1049">
      <c r="A1049" s="3" t="inlineStr">
        <is>
          <t>MX 651</t>
        </is>
      </c>
      <c r="B1049" s="2" t="inlineStr">
        <is>
          <t>Home MX 651 napelemes fali lámpa, 1 db melegfehér SMD LED, cserélhető akkumulátor</t>
        </is>
      </c>
      <c r="C1049" s="1" t="n">
        <v>4490.0</v>
      </c>
      <c r="D1049" s="7" t="n">
        <f>HYPERLINK("https://www.somogyi.hu/product/home-mx-651-napelemes-fali-lampa-1-db-melegfeher-smd-led-cserelheto-akkumulator-mx-651-17600","https://www.somogyi.hu/product/home-mx-651-napelemes-fali-lampa-1-db-melegfeher-smd-led-cserelheto-akkumulator-mx-651-17600")</f>
        <v>0.0</v>
      </c>
      <c r="E1049" s="7" t="n">
        <f>HYPERLINK("https://www.somogyi.hu/data/img/product_main_images/small/17600.jpg","https://www.somogyi.hu/data/img/product_main_images/small/17600.jpg")</f>
        <v>0.0</v>
      </c>
      <c r="F1049" s="2" t="inlineStr">
        <is>
          <t>5999084956226</t>
        </is>
      </c>
      <c r="G1049" s="4" t="inlineStr">
        <is>
          <t>Tegye kertjét vagy teraszát még varázslatosabbá napelemes kerti lámpával. Kiváló minőségű kivitelének és praktikus funkcióinak köszönhetően nemcsak dekoratív, hanem energiahatékony megoldást is nyújt. Időjárásnak ellenálló kivitelben készült, mely biztosítja, hogy a lámpa hosszú távon is kiválóan használható esős és napos időben egyaránt. A lámpa falra szerelhető, a csomagolás tartalmazza a felszereléshez szükséges csavart és tiplit. Fényét 1 db nagy fényerejű melegfehér SMD LED adja, amely kellemes, lágy fényével hangulatos atmoszférát teremt. A lámpa beépített fényérzékelővel rendelkezik, ami lehetővé teszi az automatikus be- és kikapcsolást. A kerti lámpába épített napelem és akkumulátor töltő nappal töltődik, éjjel világít. Akkumulátora 1,2 V / 40 mAh, Ni-MH.</t>
        </is>
      </c>
    </row>
    <row r="1050">
      <c r="A1050" s="3" t="inlineStr">
        <is>
          <t>MX 715D</t>
        </is>
      </c>
      <c r="B1050" s="2" t="inlineStr">
        <is>
          <t>Home MX 715D napelemes kerti lámpa, 8 óra üzemidő, napelem és töltő, automatikus, 1 LED, időjárásálló</t>
        </is>
      </c>
      <c r="C1050" s="1" t="n">
        <v>2290.0</v>
      </c>
      <c r="D1050" s="7" t="n">
        <f>HYPERLINK("https://www.somogyi.hu/product/home-mx-715d-napelemes-kerti-lampa-8-ora-uzemido-napelem-es-tolto-automatikus-1-led-idojarasallo-mx-715d-11810","https://www.somogyi.hu/product/home-mx-715d-napelemes-kerti-lampa-8-ora-uzemido-napelem-es-tolto-automatikus-1-led-idojarasallo-mx-715d-11810")</f>
        <v>0.0</v>
      </c>
      <c r="E1050" s="7" t="n">
        <f>HYPERLINK("https://www.somogyi.hu/data/img/product_main_images/small/11810.jpg","https://www.somogyi.hu/data/img/product_main_images/small/11810.jpg")</f>
        <v>0.0</v>
      </c>
      <c r="F1050" s="2" t="inlineStr">
        <is>
          <t>5999084900229</t>
        </is>
      </c>
      <c r="G1050" s="4" t="inlineStr">
        <is>
          <t>Kedveli a stílusos eleganciát? Ez esetben keresve sem találhat megfelelőbb formájú fém kerti lámpát, mint az MX 715D.
A világítást 1 db nagy fényerejű fehér LED szolgáltatja. A napelem természetes fényben töltődik, amely éjszaka világít. Be- és kikapcsolódása automatikus, így Önnek csak arra lesz gondja, hogy a földbe leszúrja a lámpát. A termék előnye továbbá, hogy akár 8 órás folyamatos működést is lehetővé tesz.
Cserélhető (1,2 V/600 mAh) AA NiMH akkumulátorral rendelkezik. Mérete: ∅12 X 40 cm. Válassza a minőségi termékeket és rendeljen webáruházunkból.</t>
        </is>
      </c>
    </row>
    <row r="1051">
      <c r="A1051" s="3" t="inlineStr">
        <is>
          <t>MX626WW</t>
        </is>
      </c>
      <c r="B1051" s="2" t="inlineStr">
        <is>
          <t>Home MX626WW napelemes kerti lámpa, 2 db-os szett, 8 db melegfehér LED, akkumulátor, acél és műanyag</t>
        </is>
      </c>
      <c r="C1051" s="1" t="n">
        <v>2590.0</v>
      </c>
      <c r="D1051" s="7" t="n">
        <f>HYPERLINK("https://www.somogyi.hu/product/home-mx626ww-napelemes-kerti-lampa-2-db-os-szett-8-db-melegfeher-led-akkumulator-acel-es-muanyag-mx626ww-18997","https://www.somogyi.hu/product/home-mx626ww-napelemes-kerti-lampa-2-db-os-szett-8-db-melegfeher-led-akkumulator-acel-es-muanyag-mx626ww-18997")</f>
        <v>0.0</v>
      </c>
      <c r="E1051" s="7" t="n">
        <f>HYPERLINK("https://www.somogyi.hu/data/img/product_main_images/small/18997.jpg","https://www.somogyi.hu/data/img/product_main_images/small/18997.jpg")</f>
        <v>0.0</v>
      </c>
      <c r="F1051" s="2" t="inlineStr">
        <is>
          <t>5999084969912</t>
        </is>
      </c>
      <c r="G1051" s="4" t="inlineStr">
        <is>
          <t>Hogyan varázsolhatja kertjét hangulatossá és energiatakarékossá egyszerre?
A Home MX626WW napelemes kerti lámpa szett nemcsak stílusos megjelenésével, hanem praktikus funkcióival is kitűnik. Ez a két darabos szett tökéletes választás, ha szeretné kertjét gyönyörű, melegfehér fényben megvilágítani, miközben a fenntarthatóságot is szem előtt tartja.
Elegáns design és hatékony világítás
Minden lámpa 8 darab melegfehér LED-del van felszerelve, amelyek kellemes és nyugodt hangulatot teremtenek. A fények nemcsak a kertet, hanem a járdát, teraszt vagy bejáratot is gyönyörűen kiemelik. Az elegáns rozsdamentes acél és műanyag kivitel modern és tartós megjelenést biztosít, amely bármilyen környezetbe könnyedén illeszkedik.
Napelemes működés a maximális kényelemért
A lámpák beépített napelemmel rendelkeznek, amely nappal feltölti az 1 x 1,2V AA (Ni-MH) 200 mAh akkumulátort. Ez garantálja, hogy a lámpák éjjel automatikusan bekapcsolnak, így Önnek nem kell foglalkoznia a működtetésükkel. A környezetbarát energiafelhasználás mellett költséghatékony megoldást nyújtanak a kültéri világításra.
Egyszerű telepítés és praktikus méret
A lámpák ø12 cm x 14 cm-es méretükkel és a mellékelt leszúrótüskékkel könnyedén rögzíthetők a földbe. Ezáltal gyorsan és egyszerűen elhelyezheti őket ott, ahol szüksége van rájuk. A mindössze 87 g-os tömegük miatt könnyen kezelhetők, és az acél-műanyag kombináció biztosítja a hosszú élettartamot.
Miért válassza a Home MX626WW napelemes kerti lámpát?
- Két darabos szett, amely tökéletesen kiegészíti kertje világítását
- 8 melegfehér LED lámpánként, a kellemes és pihentető hangulatért
- Beépített akkumulátor, amely napelemes működéssel töltődik
- Rozsdamentes acél és műanyag kialakítás, amely eleganciát és tartósságot biztosít
- Egyszerű telepítés a leszúrótüskéknek köszönhetően
Varázsolja kertjét olyan hellyé, amelyben öröm időt tölteni, legyen szó baráti összejövetelekről vagy egy csendes estéről. A Home MX626WW napelemes kerti lámpa szett egyszerre biztosít praktikus megoldást és stílusos megjelenést. Válassza a fenntartható és hangulatos világítást még ma!</t>
        </is>
      </c>
    </row>
    <row r="1052">
      <c r="A1052" s="3" t="inlineStr">
        <is>
          <t>MX716</t>
        </is>
      </c>
      <c r="B1052" s="2" t="inlineStr">
        <is>
          <t>Home MX716 napelemes kerti lámpa, 12db-os display, műanyag, 1 db hidegfehér LED, kültéri, beltéri</t>
        </is>
      </c>
      <c r="C1052" s="1" t="n">
        <v>959.0</v>
      </c>
      <c r="D1052" s="7" t="n">
        <f>HYPERLINK("https://www.somogyi.hu/product/home-mx716-napelemes-kerti-lampa-12db-os-display-muanyag-1-db-hidegfeher-led-kulteri-belteri-mx716-18340","https://www.somogyi.hu/product/home-mx716-napelemes-kerti-lampa-12db-os-display-muanyag-1-db-hidegfeher-led-kulteri-belteri-mx716-18340")</f>
        <v>0.0</v>
      </c>
      <c r="E1052" s="7" t="n">
        <f>HYPERLINK("https://www.somogyi.hu/data/img/product_main_images/small/18340.jpg","https://www.somogyi.hu/data/img/product_main_images/small/18340.jpg")</f>
        <v>0.0</v>
      </c>
      <c r="F1052" s="2" t="inlineStr">
        <is>
          <t>5999084963583</t>
        </is>
      </c>
      <c r="G1052" s="4" t="inlineStr">
        <is>
          <t>Egy mesésen megvilágított kertről vagy teraszról álmodik, ahol a fények magukkal ragadják a tekintetet? A Home MX716 napelemes kerti lámpák segítenek ezt az álmot valóra váltani. Ez a 12 darabos display készlet tökéletes választás, ha egyedi, mégis környezetbarát megoldást keres kertje vagy otthona dekorálására.
A lámpák tartós polyresin anyagból készülnek, amely garantálja a hosszú élettartamot kültéri használat során is. Minden egyes lámpa egy hidegfehér LED-del rendelkezik, amelyek kellemes fényt biztosítanak. A napelemeknek köszönhetően ezek a lámpák napközben töltődnek, és sötétedés után pedig automatikusan felkapcsolnak és világítanak.
A beépített 1,2 V 40 mAh HB40 gombakkumulátor (NiMH) biztosítja a tartós, megbízható működést. Az akkumulátor nem cserélhető, de hosszú élettartamú.
Alakítsa át kertjét vagy teraszát a Home MX716 napelemes kerti lámpákkal, amelyek nem csak dekoratívak, hanem praktikusak is. Engedje, hogy ezek a lámpák vezessék az utat a kerti ösvényen, vagy varázslatos atmoszférát teremtsenek egy esti összejövetel során.</t>
        </is>
      </c>
    </row>
    <row r="1053">
      <c r="A1053" s="3" t="inlineStr">
        <is>
          <t>SWF 01</t>
        </is>
      </c>
      <c r="B1053" s="2" t="inlineStr">
        <is>
          <t>Home SWF 01 napelemes kerti szökőkút, négy szórófej, 40cm vízoszlop, IPX8, automatikus, elem nélkül</t>
        </is>
      </c>
      <c r="C1053" s="1" t="n">
        <v>4990.0</v>
      </c>
      <c r="D1053" s="7" t="n">
        <f>HYPERLINK("https://www.somogyi.hu/product/home-swf-01-napelemes-kerti-szokokut-negy-szorofej-40cm-vizoszlop-ipx8-automatikus-elem-nelkul-swf-01-17102","https://www.somogyi.hu/product/home-swf-01-napelemes-kerti-szokokut-negy-szorofej-40cm-vizoszlop-ipx8-automatikus-elem-nelkul-swf-01-17102")</f>
        <v>0.0</v>
      </c>
      <c r="E1053" s="7" t="n">
        <f>HYPERLINK("https://www.somogyi.hu/data/img/product_main_images/small/17102.jpg","https://www.somogyi.hu/data/img/product_main_images/small/17102.jpg")</f>
        <v>0.0</v>
      </c>
      <c r="F1053" s="2" t="inlineStr">
        <is>
          <t>5999084951344</t>
        </is>
      </c>
      <c r="G1053" s="4" t="inlineStr">
        <is>
          <t>Az SWF 01 Napelemes kerti szökőkúttal garantált lesz a hangulatos kert vagy terasz. Számos helyre elhelyezhető a napelemes tápegység által, mivel nem kell a vezetékekkel bajlódni és elektromos táplálást keresni. A 4 db szórófej tetszés szerint cserélhető. 
Az IP X8 védelem által maximum 1 méter mélységig használható.</t>
        </is>
      </c>
    </row>
    <row r="1054">
      <c r="A1054" s="3" t="inlineStr">
        <is>
          <t>MX 720</t>
        </is>
      </c>
      <c r="B1054" s="2" t="inlineStr">
        <is>
          <t>Home MX 720 napelemes kerti lámpa, műanyag, napelem és töltő, automatikus, 1 LED, időjárásálló</t>
        </is>
      </c>
      <c r="C1054" s="1" t="n">
        <v>959.0</v>
      </c>
      <c r="D1054" s="7" t="n">
        <f>HYPERLINK("https://www.somogyi.hu/product/home-mx-720-napelemes-kerti-lampa-muanyag-napelem-es-tolto-automatikus-1-led-idojarasallo-mx-720-14409","https://www.somogyi.hu/product/home-mx-720-napelemes-kerti-lampa-muanyag-napelem-es-tolto-automatikus-1-led-idojarasallo-mx-720-14409")</f>
        <v>0.0</v>
      </c>
      <c r="E1054" s="7" t="n">
        <f>HYPERLINK("https://www.somogyi.hu/data/img/product_main_images/small/14409.jpg","https://www.somogyi.hu/data/img/product_main_images/small/14409.jpg")</f>
        <v>0.0</v>
      </c>
      <c r="F1054" s="2" t="inlineStr">
        <is>
          <t>5999084924577</t>
        </is>
      </c>
      <c r="G1054" s="4" t="inlineStr">
        <is>
          <t>Öltöztesse fel kertjét az éjszakára varázslatos fényekkel! Ehhez mi sem nyújthat egyszerűbb megoldást, mint a napelemes kerti lámpa. A termék esztétikus külsővel rendelkezik, továbbá minőségi műanyag alapú kivitelezésben kapható. A napelem a természetes fényben tölti az akkut. Be- és kikapcsolódása automatikus, így Önnek csak arra lesz gondja, hogy a földbe leszúrja a lámpát. Cserélhető (1,2 V/200 mAh) AAA NiMH akkumulátorral rendelkezik. Mérete: ∅4,9 X 38 cm. Válassza a minőségi termékeket és rendeljen webáruházunkból.</t>
        </is>
      </c>
    </row>
    <row r="1055">
      <c r="A1055" s="3" t="inlineStr">
        <is>
          <t>MX 626/2</t>
        </is>
      </c>
      <c r="B1055" s="2" t="inlineStr">
        <is>
          <t>Home MX 626/2 napelemes kerti lámpa szett, 2 db, fém és műanyag, 8 db SMD LED, automatikus, időjárásálló</t>
        </is>
      </c>
      <c r="C1055" s="1" t="n">
        <v>3190.0</v>
      </c>
      <c r="D1055" s="7" t="n">
        <f>HYPERLINK("https://www.somogyi.hu/product/home-mx-626-2-napelemes-kerti-lampa-szett-2-db-fem-es-muanyag-8-db-smd-led-automatikus-idojarasallo-mx-626-2-17601","https://www.somogyi.hu/product/home-mx-626-2-napelemes-kerti-lampa-szett-2-db-fem-es-muanyag-8-db-smd-led-automatikus-idojarasallo-mx-626-2-17601")</f>
        <v>0.0</v>
      </c>
      <c r="E1055" s="7" t="n">
        <f>HYPERLINK("https://www.somogyi.hu/data/img/product_main_images/small/17601.jpg","https://www.somogyi.hu/data/img/product_main_images/small/17601.jpg")</f>
        <v>0.0</v>
      </c>
      <c r="F1055" s="2" t="inlineStr">
        <is>
          <t>5999084956233</t>
        </is>
      </c>
      <c r="G1055" s="4" t="inlineStr">
        <is>
          <t>Tegye kertjét vagy udvarát még varázslatosabbá földbe szúrható napelemes kerti lámpa szettel. Kiváló minőségű kivitelének és praktikus funkcióinak köszönhetően nemcsak dekoratív, hanem energiahatékony megoldást is nyújt. Időjárásnak ellenálló kivitelben készült, mely biztosítja, hogy a lámpa hosszú távon is kiválóan használható esős és napos időben egyaránt. Fényüket  db fehér SMD LED adja, amely kellemes, lágy fényével hangulatos atmoszférát teremt. A lámpa beépített fényérzékelővel rendelkezik, ami lehetővé teszi az automatikus be- és kikapcsolást. A kerti lámpába épített napelem és akkumulátor töltő nappal töltődik, éjjel világít. Akkumulátora 1,2 V / 200 mAh, Ni-MH.</t>
        </is>
      </c>
    </row>
    <row r="1056">
      <c r="A1056" s="3" t="inlineStr">
        <is>
          <t>MX717</t>
        </is>
      </c>
      <c r="B1056" s="2" t="inlineStr">
        <is>
          <t>Home MX717 napelemes kerti lámpa, 12db-os display, műanyag, 2 db hidegfehér LED, kültéri, beltéri</t>
        </is>
      </c>
      <c r="C1056" s="1" t="n">
        <v>889.0</v>
      </c>
      <c r="D1056" s="7" t="n">
        <f>HYPERLINK("https://www.somogyi.hu/product/home-mx717-napelemes-kerti-lampa-12db-os-display-muanyag-2-db-hidegfeher-led-kulteri-belteri-mx717-18341","https://www.somogyi.hu/product/home-mx717-napelemes-kerti-lampa-12db-os-display-muanyag-2-db-hidegfeher-led-kulteri-belteri-mx717-18341")</f>
        <v>0.0</v>
      </c>
      <c r="E1056" s="7" t="n">
        <f>HYPERLINK("https://www.somogyi.hu/data/img/product_main_images/small/18341.jpg","https://www.somogyi.hu/data/img/product_main_images/small/18341.jpg")</f>
        <v>0.0</v>
      </c>
      <c r="F1056" s="2" t="inlineStr">
        <is>
          <t>5999084963590</t>
        </is>
      </c>
      <c r="G1056" s="4" t="inlineStr">
        <is>
          <t>Egy mesésen megvilágított kertről vagy teraszról álmodik, ahol a fények magukkal ragadják a tekintetet? A Home MX717 napelemes kerti lámpák segítenek ezt az álmot valóra váltani. Ez a 12 darabos display készlet tökéletes választás, ha egyedi, mégis környezetbarát megoldást keres kertje vagy otthona dekorálására.
A lámpák tartós polyresin anyagból készülnek, amely garantálja a hosszú élettartamot kültéri használat során is. Minden egyes lámpa két hidegfehér LED-del rendelkezik, amelyek kellemes fényt biztosítanak. A napelemeknek köszönhetően ezek a lámpák napközben töltődnek, és sötétedés után pedig automatikusan felkapcsolnak és világítanak.
A beépített 1,2 V 40 mAh HB40 gombakkumulátor (NiMH) biztosítja a tartós, megbízható működést.
Alakítsa át kertjét vagy teraszát a Home MX717 napelemes kerti lámpákkal, amelyek nem csak dekoratívak, hanem praktikusak is. Engedje, hogy ezek a lámpák vezessék az utat a kerti ösvényen, vagy varázslatos atmoszférát teremtsenek egy esti összejövetel során.</t>
        </is>
      </c>
    </row>
    <row r="1057">
      <c r="A1057" s="3" t="inlineStr">
        <is>
          <t>MX 632C</t>
        </is>
      </c>
      <c r="B1057" s="2" t="inlineStr">
        <is>
          <t>Home MX 632C napelemes lámpa, törpe, ~8 óra üzemidő, NiMH</t>
        </is>
      </c>
      <c r="C1057" s="1" t="n">
        <v>6590.0</v>
      </c>
      <c r="D1057" s="7" t="n">
        <f>HYPERLINK("https://www.somogyi.hu/product/home-mx-632c-napelemes-lampa-torpe-8-ora-uzemido-nimh-mx-632c-7194","https://www.somogyi.hu/product/home-mx-632c-napelemes-lampa-torpe-8-ora-uzemido-nimh-mx-632c-7194")</f>
        <v>0.0</v>
      </c>
      <c r="E1057" s="7" t="n">
        <f>HYPERLINK("https://www.somogyi.hu/data/img/product_main_images/small/07194.jpg","https://www.somogyi.hu/data/img/product_main_images/small/07194.jpg")</f>
        <v>0.0</v>
      </c>
      <c r="F1057" s="2" t="inlineStr">
        <is>
          <t>5998312761861</t>
        </is>
      </c>
      <c r="G1057" s="4" t="inlineStr">
        <is>
          <t>Ön is rajong a csodálatos mesebeli lényekért? A törpék valóban különös kis lények. Most akár otthonába is beszerezhet néhányat belőlük!
Az MX 632C egy törpe formájú napelemes lámpa, amely nappal töltődik, éjjel világít. Előnye, hogy automatikusan be- és kikapcsol. A kerti törpe világítását 1 db nagy fényerejű LED szolgáltatja, amely akár 8 órás folyamatos működést is képes biztosítani. Akkumulátora cserélhető (1,2 V / 600 mAh). Mérete: 25 cm. 
Lepje meg családját a kedves kis törpével és varázsoljon mulatságos pillanatokat udvarába. Ne habozzon és rendelje meg mielőbb webáruházunkból!</t>
        </is>
      </c>
    </row>
    <row r="1058">
      <c r="A1058" s="3" t="inlineStr">
        <is>
          <t>MX 802/4</t>
        </is>
      </c>
      <c r="B1058" s="2" t="inlineStr">
        <is>
          <t>Home MX 802/4 napelemes kerti lámpa szett, 4 db, 1 db LED, fém és műanyag, automatikus, kristályszerű fej</t>
        </is>
      </c>
      <c r="C1058" s="1" t="n">
        <v>3990.0</v>
      </c>
      <c r="D1058" s="7" t="n">
        <f>HYPERLINK("https://www.somogyi.hu/product/home-mx-802-4-napelemes-kerti-lampa-szett-4-db-1-db-led-fem-es-muanyag-automatikus-kristalyszeru-fej-mx-802-4-14410","https://www.somogyi.hu/product/home-mx-802-4-napelemes-kerti-lampa-szett-4-db-1-db-led-fem-es-muanyag-automatikus-kristalyszeru-fej-mx-802-4-14410")</f>
        <v>0.0</v>
      </c>
      <c r="E1058" s="7" t="n">
        <f>HYPERLINK("https://www.somogyi.hu/data/img/product_main_images/small/14410.jpg","https://www.somogyi.hu/data/img/product_main_images/small/14410.jpg")</f>
        <v>0.0</v>
      </c>
      <c r="F1058" s="2" t="inlineStr">
        <is>
          <t>5999084924584</t>
        </is>
      </c>
      <c r="G1058" s="4" t="inlineStr">
        <is>
          <t>A napelemes kerti lámpa szett kiváló lehetőséget nyújt arra, hogy varázslatos fényekbe borítsuk udvarunkat, persze ennél többet tud, hiszen egy jól kivilágított udvar a betolakodókat is visszatartja. A fényforrást darabonként 1 db fehér LED biztosítja. A napelem természetes fényben tölti az akkut. Be- és kikapcsolódása automatikus, így Önnek csak arra lesz gondja, hogy a földbe leszúrja a lámpát. A termék esztétikus külsejét nagyban növeli a kristályszerű fejrész. 
Cserélhető (1,2 V/200 mAh) AAA NiMH akkumulátorral rendelkezik. Mérete: ∅8,9 X 34,5 cm. Válassza a minőségi termékeket és rendeljen webáruházunkból.</t>
        </is>
      </c>
    </row>
    <row r="1059">
      <c r="A1059" s="3" t="inlineStr">
        <is>
          <t>MX 811/4</t>
        </is>
      </c>
      <c r="B1059" s="2" t="inlineStr">
        <is>
          <t>Home MX 811/4 napelemes kerti lámpa szett, 4 db, 1 db LED, fém, üveg és műanyag, automatikus</t>
        </is>
      </c>
      <c r="C1059" s="1" t="n">
        <v>5690.0</v>
      </c>
      <c r="D1059" s="7" t="n">
        <f>HYPERLINK("https://www.somogyi.hu/product/home-mx-811-4-napelemes-kerti-lampa-szett-4-db-1-db-led-fem-uveg-es-muanyag-automatikus-mx-811-4-14415","https://www.somogyi.hu/product/home-mx-811-4-napelemes-kerti-lampa-szett-4-db-1-db-led-fem-uveg-es-muanyag-automatikus-mx-811-4-14415")</f>
        <v>0.0</v>
      </c>
      <c r="E1059" s="7" t="n">
        <f>HYPERLINK("https://www.somogyi.hu/data/img/product_main_images/small/14415.jpg","https://www.somogyi.hu/data/img/product_main_images/small/14415.jpg")</f>
        <v>0.0</v>
      </c>
      <c r="F1059" s="2" t="inlineStr">
        <is>
          <t>5999084924638</t>
        </is>
      </c>
      <c r="G1059" s="4" t="inlineStr">
        <is>
          <t>Ön is kedveli az egyedi dolgokat? Ez esetben keresve sem találhat megfelelőbbet, mint az MX 811/4 napelemes kerti lámpa szett.
Különlegessége, hogy fényforrásul 1 db színváltós LED szolgál. A napelem természetes fényben tölti az akkut. Be- és kikapcsolódása automatikus, így Önnek csak arra lesz gondja, hogy a földbe leszúrja a lámpát. Előnye továbbá, hogy az időjárásnak ellenálló kivitellel rendelkezik, így élettartama is nagyon hosszú.
Cserélhető (1,2 V 200 mAh) AAA NiMH akkumulátorra van. Mérete: ∅8 X 37 cm. Válassza a minőségi termékeket és rendeljen webáruházunkból.</t>
        </is>
      </c>
    </row>
    <row r="1060">
      <c r="A1060" s="3" t="inlineStr">
        <is>
          <t>MX761</t>
        </is>
      </c>
      <c r="B1060" s="2" t="inlineStr">
        <is>
          <t>Home MX761 napelemes kerti lámpa, 1 db színváltó LED, akkumulátor, leszúrható, műgyanta, 15db-os display</t>
        </is>
      </c>
      <c r="C1060" s="1" t="n">
        <v>889.0</v>
      </c>
      <c r="D1060" s="7" t="n">
        <f>HYPERLINK("https://www.somogyi.hu/product/home-mx761-napelemes-kerti-lampa-1-db-szinvalto-led-akkumulator-leszurhato-mugyanta-15db-os-display-mx761-19010","https://www.somogyi.hu/product/home-mx761-napelemes-kerti-lampa-1-db-szinvalto-led-akkumulator-leszurhato-mugyanta-15db-os-display-mx761-19010")</f>
        <v>0.0</v>
      </c>
      <c r="E1060" s="7" t="n">
        <f>HYPERLINK("https://www.somogyi.hu/data/img/product_main_images/small/19010.jpg","https://www.somogyi.hu/data/img/product_main_images/small/19010.jpg")</f>
        <v>0.0</v>
      </c>
      <c r="F1060" s="2" t="inlineStr">
        <is>
          <t>5999084970048</t>
        </is>
      </c>
      <c r="G1060" s="4" t="inlineStr">
        <is>
          <t>Hogyan teheti különlegesebbé kertjét egy színváltós LED lámpával?
A Home MX761 napelemes kerti lámpa nemcsak világít, hanem a színváltós LED segítségével varázslatos hangulatot teremt bármely kültéri környezetben. Ideális választás dekorációs célokra, legyen szó kerti ösvények megvilágításáról vagy hangulatos esti összejövetelekről.
Innovatív színváltós világítás
A lámpa 1 db színváltó LED-del rendelkezik, amely folyamatosan váltogatja a színeit, így különleges vizuális élményt nyújt. A beépített be/ki kapcsoló lehetővé teszi, hogy egyszerűen szabályozza a világítást igényeinek megfelelően.
Napelemes működés és energiatakarékos technológia
A lámpa napelemes működésű, így a nap energiáját használja a feltöltéshez. A beépített 1,2 V-os AAA (Ni-MH) akkumulátor, 100 mAh kapacitással garantálja az esti fényeket anélkül, hogy áramforrásra lenne szükség. Ez nemcsak környezetbarát, de gazdaságos megoldás is.
Praktikus és időjárásálló kialakítás
A ø7 cm x 29,5 cm méretű lámpa műanyagból készült, ami egyszerre könnyű és strapabíró. Az időjárásálló kivitelnek köszönhetően esős vagy párás környezetben is megbízhatóan működik, így egész évben használható. A leszúrható kivitel egyszerű telepítést biztosít, legyen szó pázsitról, virágágyásról vagy járda mellé helyezésről.
Ideális dekorációs megoldás
A lámpa nemcsak praktikus, hanem stílusos dekorációs elemként is funkcionál. A színváltó LED különleges hangulatot kölcsönöz a kertnek, miközben diszkrét és elegáns megjelenésével bármely környezetbe illeszkedik. A 15 db-os display lehetővé teszi a több darab egyidejű elhelyezését, hogy egységes és lenyűgöző fényhatást érjen el.
Miért válassza a Home MX761 napelemes kerti lámpát?
- Egyedi színváltós LED világítás a különleges hangulatért
- Környezetbarát és gazdaságos napelemes működés
- Egyszerű telepítés a leszúrható kialakításnak köszönhetően
- Könnyű, strapabíró, időjárásálló kivitel
- Ideális választás kertek, teraszok, ösvények megvilágítására
Hozzon életet a kertjébe a Home MX761 színváltós napelemes kerti lámpával! Ez a stílusos és praktikus fényforrás a legegyszerűbb kültéri dekorációt is különlegessé varázsolja. Válassza ezt a modern megoldást, és élvezze a lenyűgöző fényhatást minden este!</t>
        </is>
      </c>
    </row>
    <row r="1061">
      <c r="A1061" s="3" t="inlineStr">
        <is>
          <t>FLP300SOLAR</t>
        </is>
      </c>
      <c r="B1061" s="2" t="inlineStr">
        <is>
          <t>Home FLP300SOLAR napelemes LED reflektor, 300 lm, PIR mozgásérzékelő, 120° 5m, 36 db hidegfehér SMD LED, energiatakarékos, műanyag, IP44</t>
        </is>
      </c>
      <c r="C1061" s="1" t="n">
        <v>5990.0</v>
      </c>
      <c r="D1061" s="7" t="n">
        <f>HYPERLINK("https://www.somogyi.hu/product/home-flp300solar-napelemes-led-reflektor-300-lm-pir-mozgaserzekelo-120-5m-36-db-hidegfeher-smd-led-energiatakarekos-muanyag-ip44-flp300solar-18345","https://www.somogyi.hu/product/home-flp300solar-napelemes-led-reflektor-300-lm-pir-mozgaserzekelo-120-5m-36-db-hidegfeher-smd-led-energiatakarekos-muanyag-ip44-flp300solar-18345")</f>
        <v>0.0</v>
      </c>
      <c r="E1061" s="7" t="n">
        <f>HYPERLINK("https://www.somogyi.hu/data/img/product_main_images/small/18345.jpg","https://www.somogyi.hu/data/img/product_main_images/small/18345.jpg")</f>
        <v>0.0</v>
      </c>
      <c r="F1061" s="2" t="inlineStr">
        <is>
          <t>5999084963637</t>
        </is>
      </c>
      <c r="G1061" s="4" t="inlineStr">
        <is>
          <t>Ön is szeretne egy megbízható és energiahatékony megoldást a kert vagy udvar megvilágítására? A Home FLP300SOLAR napelemes LED reflektor tökéletes választás azok számára, akik korszerű és fenntartható megoldást keresnek. Ez a kifinomult reflektor 36 db hidegfehér SMD LED-del rendelkezik, amely sötétedéskor energiatakarékos üzemmódban világít, de mozgás érzékelése esetén az intenzitás 100%-ra nő, biztosítva ezzel a terület megfelelő megvilágítását.
A PIR mozgásérzékelő 120°-os érzékelési szögével és 5 méteres érzékelési távolságával gondoskodik arról, hogy a fény valóban csak akkor kapcsoljon, amikor szükség van rá. A 300 lumen fényerő és a 10000K színhőmérséklet garantálja a tiszta, és erős fényt. Az IP44 védelemnek köszönhetően a reflektor ellenáll a freccsenő víznek, így kültéren is bátran használható.
A műanyag alapanyag, valamint a mellékelt rögzítő elemek biztosítják, hogy a reflektor könnyedén és biztonságosan telepíthető legyen bármilyen kültéri helyszínen. Az akkumulátoros tápellátásnak köszönhetően nincsen szükség külső áramforrásra, a reflektor önállóan, napenergiával működik, ami jelentősen csökkenti az üzemeltetési költségeket.
Válassza a Home FLP300SOLAR napelemes LED reflektort, hogy otthona külső területei biztonságosan és takarékosan legyenek megvilágítva.</t>
        </is>
      </c>
    </row>
    <row r="1062">
      <c r="A1062" s="3" t="inlineStr">
        <is>
          <t>MX 618K</t>
        </is>
      </c>
      <c r="B1062" s="2" t="inlineStr">
        <is>
          <t>Home MX 618K napelemes kerti dekoráció, 1 db LED, automatikus, 8 óra üzemidő, kolibri</t>
        </is>
      </c>
      <c r="C1062" s="1" t="n">
        <v>1990.0</v>
      </c>
      <c r="D1062" s="7" t="n">
        <f>HYPERLINK("https://www.somogyi.hu/product/home-mx-618k-napelemes-kerti-dekoracio-1-db-led-automatikus-8-ora-uzemido-kolibri-mx-618k-16707","https://www.somogyi.hu/product/home-mx-618k-napelemes-kerti-dekoracio-1-db-led-automatikus-8-ora-uzemido-kolibri-mx-618k-16707")</f>
        <v>0.0</v>
      </c>
      <c r="E1062" s="7" t="n">
        <f>HYPERLINK("https://www.somogyi.hu/data/img/product_main_images/small/16707.jpg","https://www.somogyi.hu/data/img/product_main_images/small/16707.jpg")</f>
        <v>0.0</v>
      </c>
      <c r="F1062" s="2" t="inlineStr">
        <is>
          <t>5999084947392</t>
        </is>
      </c>
      <c r="G1062" s="4" t="inlineStr">
        <is>
          <t>Az MX 618 K Napelemes kerti dekorációval dobja fel teraszát vagy kertjét. A kolibri figurával a tetején vidám kiegészítője lehet a virágágyásoknak is. A beépített napelem és akkumulátortöltő segítségével nappal töltődik, majd sötétedést követően automatikusan bekapcsol és világít. Akár 8 órán keresztül képes folyamatosan világítani. Időjárásnak ellenálló kivitelben készült.</t>
        </is>
      </c>
    </row>
    <row r="1063">
      <c r="A1063" s="3" t="inlineStr">
        <is>
          <t>MX671S</t>
        </is>
      </c>
      <c r="B1063" s="2" t="inlineStr">
        <is>
          <t>Home MX671S napelemes kerti sün lámpa, 1 db melegfehér LED, akkumulátor, műgyanta, leszúrható</t>
        </is>
      </c>
      <c r="C1063" s="1" t="n">
        <v>2990.0</v>
      </c>
      <c r="D1063" s="7" t="n">
        <f>HYPERLINK("https://www.somogyi.hu/product/home-mx671s-napelemes-kerti-sun-lampa-1-db-melegfeher-led-akkumulator-mugyanta-leszurhato-mx671s-19004","https://www.somogyi.hu/product/home-mx671s-napelemes-kerti-sun-lampa-1-db-melegfeher-led-akkumulator-mugyanta-leszurhato-mx671s-19004")</f>
        <v>0.0</v>
      </c>
      <c r="E1063" s="7" t="n">
        <f>HYPERLINK("https://www.somogyi.hu/data/img/product_main_images/small/19004.jpg","https://www.somogyi.hu/data/img/product_main_images/small/19004.jpg")</f>
        <v>0.0</v>
      </c>
      <c r="F1063" s="2" t="inlineStr">
        <is>
          <t>5999084969981</t>
        </is>
      </c>
      <c r="G1063" s="4" t="inlineStr">
        <is>
          <t>Hogyan teheti varázslatossá kertjét egy stílusos sün formájú lámpával?
A Home MX671S napelemes kerti sün lámpa nemcsak hangulatos fényt biztosít, hanem bájos megjelenésével különleges dísze lehet bármely kertnek. Ez az egyedi, leszúrható lámpa ideális választás mindazok számára, akik szeretik az esztétikus és praktikus kültéri dekorációkat.
Kellemes fényhatás melegfehér LED-del
A lámpa 1 db melegfehér LED-je barátságos, lágy fényt áraszt, amely kiemeli a sün különleges formatervezését, és kellemes hangulatot teremt a kertben. Ez az elegáns megvilágítás tökéletes választás esti kerti sétákhoz vagy teraszvilágításhoz.
Fenntartható és energiatakarékos működés
A beépített napelem napközben hatékonyan tölti fel a lámpa 1 x 1,2V AAA (Ni-MH), 300mAh akkumulátorát, így az éjszaka folyamán automatikusan világít. A környezetbarát megoldás nemcsak energiatakarékos, hanem könnyen kezelhető is, mivel nincs szükség vezetékekre vagy hálózati csatlakozásra.
Tartós és dekoratív kialakítás
A sün formájú lámpa műgyanta és műanyag alapanyagai időjárásálló kivitelben készültek, amelyek hosszú élettartamot és ellenálló képességet biztosítanak az időjárási viszontagságokkal szemben. A könnyű, mindössze 238 g tömegű lámpa stabilan rögzíthető a talajba a 27 cm hosszúságú leszúró tüske segítségével.
Kompakt méret és könnyű használat
Kompakt méretének (6,3 x 5,5 x 8,3 cm) köszönhetően a lámpa szinte bárhol elhelyezhető, legyen az egy virágágyás, kerti út vagy terasz szegélye. Az egyszerűen kezelhető kialakításnak hála, a lámpa be- és kikapcsolása gyerekjáték.
Miért válassza a Home MX671S napelemes kerti sün lámpát?
- Egyedi, sün formájú design, amely feldobja a kert hangulatát
- Melegfehér LED a kellemes és dekoratív megvilágításért
- Beépített napelem és akkumulátor a fenntartható működés érdekében
- Időjárásálló kivitel hosszú távú használatra
- Kompakt méret és könnyű telepíthetőség
Tegye különlegessé kertjét vagy teraszát a Home MX671S napelemes kerti sün lámpával! Válassza ezt a stílusos és praktikus világítást, amely egyszerre esztétikus és környezetbarát megoldást nyújt a kültéri dekorációhoz.</t>
        </is>
      </c>
    </row>
    <row r="1064">
      <c r="A1064" s="3" t="inlineStr">
        <is>
          <t>MX 618P</t>
        </is>
      </c>
      <c r="B1064" s="2" t="inlineStr">
        <is>
          <t>Home MX 618P napelemes kerti dekoráció, 1 db LED, automatikus, 8 óra üzemidő, pillangó</t>
        </is>
      </c>
      <c r="C1064" s="1" t="n">
        <v>1990.0</v>
      </c>
      <c r="D1064" s="7" t="n">
        <f>HYPERLINK("https://www.somogyi.hu/product/home-mx-618p-napelemes-kerti-dekoracio-1-db-led-automatikus-8-ora-uzemido-pillango-mx-618p-16706","https://www.somogyi.hu/product/home-mx-618p-napelemes-kerti-dekoracio-1-db-led-automatikus-8-ora-uzemido-pillango-mx-618p-16706")</f>
        <v>0.0</v>
      </c>
      <c r="E1064" s="7" t="n">
        <f>HYPERLINK("https://www.somogyi.hu/data/img/product_main_images/small/16706.jpg","https://www.somogyi.hu/data/img/product_main_images/small/16706.jpg")</f>
        <v>0.0</v>
      </c>
      <c r="F1064" s="2" t="inlineStr">
        <is>
          <t>5999084947385</t>
        </is>
      </c>
      <c r="G1064" s="4" t="inlineStr">
        <is>
          <t>Az MX 618 P Napelemes kerti dekorációval dobja fel teraszát vagy kertjét. A pillangó figurával a tetején vidám kiegészítője lehet a virágágyásoknak is. A beépített napelem és akkumulátortöltő segítségével nappal töltődik, majd sötétedést követően automatikusan bekapcsol és világít. Akár 8 órán keresztül képes folyamatosan világítani. Időjárásnak ellenálló kivitelben készült.</t>
        </is>
      </c>
    </row>
    <row r="1065">
      <c r="A1065" s="3" t="inlineStr">
        <is>
          <t>MX 623</t>
        </is>
      </c>
      <c r="B1065" s="2" t="inlineStr">
        <is>
          <t>Home MX 623 napelemes kerti lámpa, 20 microLED, üveg, időjárásálló, automatikus, színes</t>
        </is>
      </c>
      <c r="C1065" s="1" t="n">
        <v>2990.0</v>
      </c>
      <c r="D1065" s="7" t="n">
        <f>HYPERLINK("https://www.somogyi.hu/product/home-mx-623-napelemes-kerti-lampa-20-microled-uveg-idojarasallo-automatikus-szines-mx-623-16714","https://www.somogyi.hu/product/home-mx-623-napelemes-kerti-lampa-20-microled-uveg-idojarasallo-automatikus-szines-mx-623-16714")</f>
        <v>0.0</v>
      </c>
      <c r="E1065" s="7" t="n">
        <f>HYPERLINK("https://www.somogyi.hu/data/img/product_main_images/small/16714.jpg","https://www.somogyi.hu/data/img/product_main_images/small/16714.jpg")</f>
        <v>0.0</v>
      </c>
      <c r="F1065" s="2" t="inlineStr">
        <is>
          <t>5999084947460</t>
        </is>
      </c>
      <c r="G1065" s="4" t="inlineStr">
        <is>
          <t>Az MX 623 Napelemes kerti lámpa hangulatos megvilágítást nyújt a kertben vagy a teraszon. A napelemes kerti lámpa világítását 20 db színes micro LED biztosítja, amely jól látható az üveggömb kivitelnek köszönhetően. A beépített napelem és akkumulátortöltő segítségével nappal töltődik, majd sötétedést követően automatikusan bekapcsol és világít. Időjárásnak ellenálló kivitelben készült.
Tegye egyedivé a teraszt, udvart vagy a virágoskertet az MX 623 napelemes kerti lámpánkkal.</t>
        </is>
      </c>
    </row>
    <row r="1066">
      <c r="A1066" s="3" t="inlineStr">
        <is>
          <t>MX671B</t>
        </is>
      </c>
      <c r="B1066" s="2" t="inlineStr">
        <is>
          <t>Home MX671B napelemes kerti bagoly lámpa, 1 db melegfehér LED, akkumulátor, műgyanta, leszúrható</t>
        </is>
      </c>
      <c r="C1066" s="1" t="n">
        <v>2990.0</v>
      </c>
      <c r="D1066" s="7" t="n">
        <f>HYPERLINK("https://www.somogyi.hu/product/home-mx671b-napelemes-kerti-bagoly-lampa-1-db-melegfeher-led-akkumulator-mugyanta-leszurhato-mx671b-19003","https://www.somogyi.hu/product/home-mx671b-napelemes-kerti-bagoly-lampa-1-db-melegfeher-led-akkumulator-mugyanta-leszurhato-mx671b-19003")</f>
        <v>0.0</v>
      </c>
      <c r="E1066" s="7" t="n">
        <f>HYPERLINK("https://www.somogyi.hu/data/img/product_main_images/small/19003.jpg","https://www.somogyi.hu/data/img/product_main_images/small/19003.jpg")</f>
        <v>0.0</v>
      </c>
      <c r="F1066" s="2" t="inlineStr">
        <is>
          <t>5999084969974</t>
        </is>
      </c>
      <c r="G1066" s="4" t="inlineStr">
        <is>
          <t>Hogyan teheti varázslatossá kertjét egy stílusos bagoly formájú lámpával?
A Home MX671B napelemes kerti bagoly lámpa nemcsak hangulatos fényt biztosít, hanem bájos megjelenésével különleges dísze lehet bármely kertnek. Ez az egyedi, leszúrható lámpa ideális választás mindazok számára, akik szeretik az esztétikus és praktikus kültéri dekorációkat.
Kellemes fényhatás melegfehér LED-del
A lámpa 1 db melegfehér LED-je barátságos, lágy fényt áraszt, amely kiemeli a bagoly különleges formatervezését, és kellemes hangulatot teremt a kertben. Ez az elegáns megvilágítás tökéletes választás esti kerti sétákhoz vagy teraszvilágításhoz.
Fenntartható és energiatakarékos működés
A beépített napelem napközben hatékonyan tölti fel a lámpa 1 x 1,2V AAA (Ni-MH), 300mAh akkumulátorát, így az éjszaka folyamán automatikusan világít. A környezetbarát megoldás nemcsak energiatakarékos, hanem könnyen kezelhető is, mivel nincs szükség vezetékekre vagy hálózati csatlakozásra.
Tartós és dekoratív kialakítás
A bagoly formájú lámpa műgyanta és műanyag alapanyagai időjárásálló kivitelben készültek, amelyek hosszú élettartamot és ellenálló képességet biztosítanak az időjárási viszontagságokkal szemben. A könnyű, mindössze 238 g tömegű lámpa stabilan rögzíthető a talajba a 27 cm hosszúságú leszúró tüske segítségével.
Kompakt méret és könnyű használat
Kompakt méretének (6,3 x 5,5 x 8,3 cm) köszönhetően a lámpa szinte bárhol elhelyezhető, legyen az egy virágágyás, kerti út vagy terasz szegélye. Az egyszerűen kezelhető kialakításnak hála, a lámpa be- és kikapcsolása gyerekjáték.
Miért válassza a Home MX671B napelemes kerti bagoly lámpát?
- Egyedi, bagoly formájú design, amely feldobja a kert hangulatát
- Melegfehér LED a kellemes és dekoratív megvilágításért
- Beépített napelem és akkumulátor a fenntartható működés érdekében
- Időjárásálló kivitel hosszú távú használatra
- Kompakt méret és könnyű telepíthetőség
Tegye különlegessé kertjét vagy teraszát a Home MX671B napelemes kerti bagoly lámpával! Válassza ezt a stílusos és praktikus világítást, amely egyszerre esztétikus és környezetbarát megoldást nyújt a kültéri dekorációhoz.</t>
        </is>
      </c>
    </row>
    <row r="1067">
      <c r="A1067" s="3" t="inlineStr">
        <is>
          <t>MX672</t>
        </is>
      </c>
      <c r="B1067" s="2" t="inlineStr">
        <is>
          <t>Home MX672 napelemes kerti lámpa, kutyák lámpással, 1db melegfehér LED, akkumulátor, műgyanta, 6 db-os display</t>
        </is>
      </c>
      <c r="C1067" s="1" t="n">
        <v>2890.0</v>
      </c>
      <c r="D1067" s="7" t="n">
        <f>HYPERLINK("https://www.somogyi.hu/product/home-mx672-napelemes-kerti-lampa-kutyak-lampassal-1db-melegfeher-led-akkumulator-mugyanta-6-db-os-display-mx672-19002","https://www.somogyi.hu/product/home-mx672-napelemes-kerti-lampa-kutyak-lampassal-1db-melegfeher-led-akkumulator-mugyanta-6-db-os-display-mx672-19002")</f>
        <v>0.0</v>
      </c>
      <c r="E1067" s="7" t="n">
        <f>HYPERLINK("https://www.somogyi.hu/data/img/product_main_images/small/19002.jpg","https://www.somogyi.hu/data/img/product_main_images/small/19002.jpg")</f>
        <v>0.0</v>
      </c>
      <c r="F1067" s="2" t="inlineStr">
        <is>
          <t>5999084969967</t>
        </is>
      </c>
      <c r="G1067" s="4" t="inlineStr">
        <is>
          <t>Hogyan varázsolhat otthonos hangulatot a kertjébe egy bájos, kutyás lámpával?
A Home MX672 napelemes kerti lámpa tökéletes választás mindazok számára, akik szeretnék feldobni kertjük hangulatát egyedi és praktikus dekorációval. A kutyás lámpa barátságos megjelenése és melegfehér LED-es világítása otthonossá varázsolja a kültéri tereket.
Stílusos és funkcionális fényforrás
Ez a lámpa 1 db melegfehér LED-del van felszerelve, amely a lámpásban kapott helyet, így kellemes, lágy fényt biztosít. Ideális választás esti sétákhoz, teraszmegvilágításhoz vagy egyszerűen a kert dekoratív kiegészítőjeként.
Napelemes technológia a fenntarthatóság jegyében
A beépített napelem és 1,2 V-os gombelem (Ni-MH), 80 mAh kapacitású akkumulátor gondoskodik a lámpa energiaellátásáról. A nap folyamán feltöltődik, így este automatikusan világít, anélkül hogy hálózati csatlakozásra lenne szükség. Ez a környezetbarát megoldás egyszerre kényelmes és gazdaságos.
Kiváló minőségű, időjárásálló kivitel
A lámpa műgyanta és műanyag alapanyagai biztosítják az időjárásállóságot, így a termék hosszú ideig ellenáll a környezeti hatásoknak. A strapabíró kialakítás ideálissá teszi bármilyen kültéri elhelyezéshez.
Változatos dizájn három különböző kutyával
A lámpa háromféle kutyafigurával érhető el, így mindenki megtalálhatja a saját ízlésének megfelelőt. A méretek variálhatók:
- 13,5 x 10 x 15 cm
- 15 x 10 x 15 cm
- 12 x 10,5 x 15 cm
Ezek a méretek ideálissá teszik a lámpát kisebb vagy nagyobb kertek, teraszok, erkélyek díszítésére is.
Miért válassza a Home MX672 napelemes kerti lámpát?
- Bájos kutyás design, amely feldobja a kertet
- Melegfehér LED, amely kellemes fényt biztosít
- Napelemes technológia az energiatakarékos működésért
- Strapabíró, időjárásálló anyagokból készült
- Három különböző kutyafigura a változatosságért
- Ideális választás kültéri dekorációhoz vagy ajándéknak
Tegye kertjét még barátságosabbá és hangulatosabbá a Home MX672 napelemes kerti lámpával! Ez a stílusos és praktikus dekoráció minden kültéri teret otthonossá varázsol. Válassza ki kedvenc kutyafiguráját, és élvezze a meleg, barátságos világítást nap mint nap!</t>
        </is>
      </c>
    </row>
    <row r="1068">
      <c r="A1068" s="3" t="inlineStr">
        <is>
          <t>MX 300</t>
        </is>
      </c>
      <c r="B1068" s="2" t="inlineStr">
        <is>
          <t>Home MX 300 napelemes kerti fáklya, 72 LED, automatikus, napelem és töltő, időjárásálló</t>
        </is>
      </c>
      <c r="C1068" s="1" t="n">
        <v>5990.0</v>
      </c>
      <c r="D1068" s="7" t="n">
        <f>HYPERLINK("https://www.somogyi.hu/product/home-mx-300-napelemes-kerti-faklya-72-led-automatikus-napelem-es-tolto-idojarasallo-mx-300-16278","https://www.somogyi.hu/product/home-mx-300-napelemes-kerti-faklya-72-led-automatikus-napelem-es-tolto-idojarasallo-mx-300-16278")</f>
        <v>0.0</v>
      </c>
      <c r="E1068" s="7" t="n">
        <f>HYPERLINK("https://www.somogyi.hu/data/img/product_main_images/small/16278.jpg","https://www.somogyi.hu/data/img/product_main_images/small/16278.jpg")</f>
        <v>0.0</v>
      </c>
      <c r="F1068" s="2" t="inlineStr">
        <is>
          <t>5999084943103</t>
        </is>
      </c>
      <c r="G1068" s="4" t="inlineStr">
        <is>
          <t>Az MX 300 Napelemes kerti fáklya valósághű lángeffekttel világít, amely nagyon hangulatos kiegészítése lehet a kertnek vagy a terasznak. A beépített napelem és akkumulátortöltő segítségével nappal töltődik, majd sötétedést követően automatikusan bekapcsol és világít. Időjárásnak ellenálló műanyag kivitelben készült.
Tegye egyedivé a teraszt, udvart vagy a virágoskertet az MX 300 napelemes kerti fáklyánkkal.</t>
        </is>
      </c>
    </row>
    <row r="1069">
      <c r="A1069" s="3" t="inlineStr">
        <is>
          <t>FLP1002SOLAR</t>
        </is>
      </c>
      <c r="B1069" s="2" t="inlineStr">
        <is>
          <t>Home FLP1002SOLAR napelemes LED reflektor, 1000 lm, PIR mozgásérzékelő, 120° 5m, 2 x 28 db hidegfehér SMD LED, energiatakarékos, fém + műanyag, IP44</t>
        </is>
      </c>
      <c r="C1069" s="1" t="n">
        <v>18290.0</v>
      </c>
      <c r="D1069" s="7" t="n">
        <f>HYPERLINK("https://www.somogyi.hu/product/home-flp1002solar-napelemes-led-reflektor-1000-lm-pir-mozgaserzekelo-120-5m-2-x-28-db-hidegfeher-smd-led-energiatakarekos-fem-muanyag-ip44-flp1002solar-18347","https://www.somogyi.hu/product/home-flp1002solar-napelemes-led-reflektor-1000-lm-pir-mozgaserzekelo-120-5m-2-x-28-db-hidegfeher-smd-led-energiatakarekos-fem-muanyag-ip44-flp1002solar-18347")</f>
        <v>0.0</v>
      </c>
      <c r="E1069" s="7" t="n">
        <f>HYPERLINK("https://www.somogyi.hu/data/img/product_main_images/small/18347.jpg","https://www.somogyi.hu/data/img/product_main_images/small/18347.jpg")</f>
        <v>0.0</v>
      </c>
      <c r="F1069" s="2" t="inlineStr">
        <is>
          <t>5999084963651</t>
        </is>
      </c>
      <c r="G1069" s="4" t="inlineStr">
        <is>
          <t>Ön is szeretne egy megbízható és energiahatékony megoldást a kert vagy udvar megvilágítására? A Home FLP1002SOLAR napelemes LED reflektor tökéletes választás azok számára, akik korszerű és fenntartható megoldást keresnek. Ez a kifinomult reflektor 2x28 db hidegfehér SMD LED-del rendelkezik, amely sötétedéskor energiatakarékos üzemmódban világít, de mozgás érzékelése esetén az intenzitás 100%-ra nő, biztosítva ezzel a terület megfelelő megvilágítását.
A PIR mozgásérzékelő 120°-os érzékelési szögével és 5 méteres érzékelési távolságával gondoskodik arról, hogy a fény valóban csak akkor kapcsoljon, amikor szükség van rá. Az 1000 lumen fényerő és a 6000K színhőmérséklet garantálja a tiszta, és erős fényt. Az IP44 védelemnek köszönhetően a reflektor ellenáll a freccsenő víznek, így kültéren is bátran használható.
A tartós fém és műanyag alapanyag, valamint a mellékelt rögzítő elemek biztosítják, hogy a reflektor könnyedén és biztonságosan telepíthető legyen bármilyen kültéri helyszínen. Az akkumulátoros tápellátásnak köszönhetően nincsen szükség külső áramforrásra, a reflektor önállóan, napenergiával működik, ami jelentősen csökkenti az üzemeltetési költségeket.
Válassza a Home FLP1002SOLAR napelemes LED reflektort, hogy otthona külső területei biztonságosan és takarékosan legyenek megvilágítva.</t>
        </is>
      </c>
    </row>
    <row r="1070">
      <c r="A1070" s="3" t="inlineStr">
        <is>
          <t>MX671N</t>
        </is>
      </c>
      <c r="B1070" s="2" t="inlineStr">
        <is>
          <t>Home MX671N napelemes kerti nyúl lámpa, 1 db melegfehér LED, akkumulátor, műgyanta, leszúrható</t>
        </is>
      </c>
      <c r="C1070" s="1" t="n">
        <v>2990.0</v>
      </c>
      <c r="D1070" s="7" t="n">
        <f>HYPERLINK("https://www.somogyi.hu/product/home-mx671n-napelemes-kerti-nyul-lampa-1-db-melegfeher-led-akkumulator-mugyanta-leszurhato-mx671n-19019","https://www.somogyi.hu/product/home-mx671n-napelemes-kerti-nyul-lampa-1-db-melegfeher-led-akkumulator-mugyanta-leszurhato-mx671n-19019")</f>
        <v>0.0</v>
      </c>
      <c r="E1070" s="7" t="n">
        <f>HYPERLINK("https://www.somogyi.hu/data/img/product_main_images/small/19019.jpg","https://www.somogyi.hu/data/img/product_main_images/small/19019.jpg")</f>
        <v>0.0</v>
      </c>
      <c r="F1070" s="2" t="inlineStr">
        <is>
          <t>5999084970130</t>
        </is>
      </c>
      <c r="G1070" s="4" t="inlineStr">
        <is>
          <t>Hogyan teheti varázslatossá kertjét egy stílusos nyúl formájú lámpával?
A Home MX671N napelemes kerti nyúl lámpa nemcsak hangulatos fényt biztosít, hanem bájos megjelenésével különleges dísze lehet bármely kertnek. Ez az egyedi, leszúrható lámpa ideális választás mindazok számára, akik szeretik az esztétikus és praktikus kültéri dekorációkat.
Kellemes fényhatás melegfehér LED-del
A lámpa 1 db melegfehér LED-je barátságos, lágy fényt áraszt, amely kiemeli a nyúl különleges formatervezését, és kellemes hangulatot teremt a kertben. Ez az elegáns megvilágítás tökéletes választás esti kerti sétákhoz vagy teraszvilágításhoz.
Fenntartható és energiatakarékos működés
A beépített napelem napközben hatékonyan tölti fel a lámpa 1 x 1,2V AAA (Ni-MH), 300mAh akkumulátorát, így az éjszaka folyamán automatikusan világít. A környezetbarát megoldás nemcsak energiatakarékos, hanem könnyen kezelhető is, mivel nincs szükség vezetékekre vagy hálózati csatlakozásra.
Tartós és dekoratív kialakítás
A nyúl formájú lámpa műgyanta és műanyag alapanyagai időjárásálló kivitelben készültek, amelyek hosszú élettartamot és ellenálló képességet biztosítanak az időjárási viszontagságokkal szemben. A könnyű, mindössze 238 g tömegű lámpa stabilan rögzíthető a talajba a 27 cm hosszúságú leszúró tüske segítségével.
Kompakt méret és könnyű használat
Kompakt méretének (6,3 x 5,5 x 8,3 cm) köszönhetően a lámpa szinte bárhol elhelyezhető, legyen az egy virágágyás, kerti út vagy terasz szegélye. Az egyszerűen kezelhető kialakításnak hála, a lámpa be- és kikapcsolása gyerekjáték.
Miért válassza a Home MX671N napelemes kerti nyúl lámpát?
- Egyedi, nyúl formájú design, amely feldobja a kert hangulatát
- Melegfehér LED a kellemes és dekoratív megvilágításért
- Beépített napelem és akkumulátor a fenntartható működés érdekében
- Időjárásálló kivitel hosszú távú használatra
- Kompakt méret és könnyű telepíthetőség
Tegye különlegessé kertjét vagy teraszát a Home MX671N napelemes kerti nyúl lámpával! Válassza ezt a stílusos és praktikus világítást, amely egyszerre esztétikus és környezetbarát megoldást nyújt a kültéri dekorációhoz.</t>
        </is>
      </c>
    </row>
    <row r="1071">
      <c r="A1071" s="3" t="inlineStr">
        <is>
          <t>SML100WW</t>
        </is>
      </c>
      <c r="B1071" s="2" t="inlineStr">
        <is>
          <t>Home SML100WW micro LED fényfüzér, 5 méter, napelemes, kül- és beltéri kivitel, 100 db melegfehér micro LED</t>
        </is>
      </c>
      <c r="C1071" s="1" t="n">
        <v>3990.0</v>
      </c>
      <c r="D1071" s="7" t="n">
        <f>HYPERLINK("https://www.somogyi.hu/product/home-sml100ww-micro-led-fenyfuzer-5-meter-napelemes-kul-es-belteri-kivitel-100-db-melegfeher-micro-led-sml100ww-18599","https://www.somogyi.hu/product/home-sml100ww-micro-led-fenyfuzer-5-meter-napelemes-kul-es-belteri-kivitel-100-db-melegfeher-micro-led-sml100ww-18599")</f>
        <v>0.0</v>
      </c>
      <c r="E1071" s="7" t="n">
        <f>HYPERLINK("https://www.somogyi.hu/data/img/product_main_images/small/18599.jpg","https://www.somogyi.hu/data/img/product_main_images/small/18599.jpg")</f>
        <v>0.0</v>
      </c>
      <c r="F1071" s="2" t="inlineStr">
        <is>
          <t>5999084966171</t>
        </is>
      </c>
      <c r="G1071" s="4" t="inlineStr">
        <is>
          <t>Szeretne varázslatos fényeket otthonában vagy kertjében? Ismerje meg a Home SML100WW micro LED fényfüzért, amely 100 db melegfehér LED-del világítja meg környezetét, legyen szó beltéri vagy kültéri használatról. 
Ez az 5 méter hosszú fényfüzér napelemes működésének köszönhetően energiatakarékos és környezetbarát megoldást kínál, hiszen nappal töltődik, és sötétben akár 8 órán át is világít.
A leszúrható vagy falra rögzíthető napelem egyszerűen telepíthető, így bármilyen helyszínen könnyedén használható. A Home SML100WW micro LED fényfüzér üzemmódjai között kikapcsolás, folyamatos vagy villogó fény közül választhat, hogy a kívánt hangulatot teremthesse meg. A cserélhető akkumulátor (1 x 600 mAh Ni-MH) tartozék, így hosszú távú használatra tervezték.
Az átlátszó vezeték diszkrét megjelenést biztosít, így a LED-ek ragyogása kerül a középpontba. A fényfüzér 5 méter hosszú, melyet további 1 méter tápkábel követ a szolár panelig, biztosítva a megfelelő elhelyezést. Az LED-ek közötti 5 cm-es távolság egyenletes fényeloszlást garantál.
Ne hagyja ki ezt a sokoldalú fényfüzért! Rendelje meg a Home SML100WW micro LED fényfüzért még ma, és varázsolja otthonát vagy kertjét meséssé!</t>
        </is>
      </c>
    </row>
    <row r="1072">
      <c r="A1072" s="3" t="inlineStr">
        <is>
          <t>MX816</t>
        </is>
      </c>
      <c r="B1072" s="2" t="inlineStr">
        <is>
          <t>Home MX816 napelemes kerti lámpa, 12db-os display, műanyag, 1 db melegfehér LED, kültéri, beltéri</t>
        </is>
      </c>
      <c r="C1072" s="1" t="n">
        <v>989.0</v>
      </c>
      <c r="D1072" s="7" t="n">
        <f>HYPERLINK("https://www.somogyi.hu/product/home-mx816-napelemes-kerti-lampa-12db-os-display-muanyag-1-db-melegfeher-led-kulteri-belteri-mx816-18343","https://www.somogyi.hu/product/home-mx816-napelemes-kerti-lampa-12db-os-display-muanyag-1-db-melegfeher-led-kulteri-belteri-mx816-18343")</f>
        <v>0.0</v>
      </c>
      <c r="E1072" s="7" t="n">
        <f>HYPERLINK("https://www.somogyi.hu/data/img/product_main_images/small/18343.jpg","https://www.somogyi.hu/data/img/product_main_images/small/18343.jpg")</f>
        <v>0.0</v>
      </c>
      <c r="F1072" s="2" t="inlineStr">
        <is>
          <t>5999084963613</t>
        </is>
      </c>
      <c r="G1072" s="4" t="inlineStr">
        <is>
          <t>Egy mesésen megvilágított kertről vagy teraszról álmodik, ahol a fények magukkal ragadják a tekintetet? A Home MX816 napelemes kerti lámpák segítenek ezt az álmot valóra váltani. Ez a 12 darabos display készlet tökéletes választás, ha egyedi, mégis környezetbarát megoldást keres kertje vagy otthona dekorálására.
A lámpák tartós műanyag és rozsdamentes fém anyagból készülnek, amely garantálja a hosszú élettartamot kültéri használat során is. Minden egyes lámpa egy melegfehér LED-del rendelkezik, amely kellemes fényt biztosít. A napelemeknek köszönhetően ezek a lámpák napközben töltődnek, és sötétedés után pedig automatikusan felkapcsolnak és világítanak.
A beépített 1,2 V 40 mAh HB40 gombakkumulátor (NiMH) biztosítja a tartós, megbízható működést.
Alakítsa át kertjét vagy teraszát a Home MX816 napelemes kerti lámpákkal, amelyek nem csak dekoratívak, hanem praktikusak is. Engedje, hogy ezek a lámpák vezessék az utat a kerti ösvényen, vagy varázslatos atmoszférát teremtsenek egy esti összejövetel során.</t>
        </is>
      </c>
    </row>
    <row r="1073">
      <c r="A1073" s="3" t="inlineStr">
        <is>
          <t>MX670</t>
        </is>
      </c>
      <c r="B1073" s="2" t="inlineStr">
        <is>
          <t>Home MX670 napelemes kerti kisállatok lámpa, 2 db melegfehér LED, akkumulátor, műgyanta és műanyag, 12db/display</t>
        </is>
      </c>
      <c r="C1073" s="1" t="n">
        <v>1590.0</v>
      </c>
      <c r="D1073" s="7" t="n">
        <f>HYPERLINK("https://www.somogyi.hu/product/home-mx670-napelemes-kerti-kisallatok-lampa-2-db-melegfeher-led-akkumulator-mugyanta-es-muanyag-12db-display-mx670-19000","https://www.somogyi.hu/product/home-mx670-napelemes-kerti-kisallatok-lampa-2-db-melegfeher-led-akkumulator-mugyanta-es-muanyag-12db-display-mx670-19000")</f>
        <v>0.0</v>
      </c>
      <c r="E1073" s="7" t="n">
        <f>HYPERLINK("https://www.somogyi.hu/data/img/product_main_images/small/19000.jpg","https://www.somogyi.hu/data/img/product_main_images/small/19000.jpg")</f>
        <v>0.0</v>
      </c>
      <c r="F1073" s="2" t="inlineStr">
        <is>
          <t>5999084969943</t>
        </is>
      </c>
      <c r="G1073" s="4" t="inlineStr">
        <is>
          <t>Hogyan varázsolhatja kertjét egyedivé és hangulatossá egy napelemes kisállat-lámpával?
A Home MX670 napelemes kerti kisállatok lámpa egyedi formatervezésével és melegfehér LED-jeivel nemcsak dekoratív elem, hanem praktikus világítási megoldás is, amely tökéletesen illeszkedik bármilyen kültéri környezetbe. Ez a különleges lámpa ideális választás mindazok számára, akik szeretnék feldobni kertjüket vagy teraszukat egy természetközeli, mégis modern stílusú világítással.
Egyedi fényhatás melegfehér LED-ekkel
A lámpa 2 db melegfehér LED-je lágy, kellemes fényt biztosít, amely kiemeli a kisállatok bájos formáit, miközben barátságos hangulatot teremt a kertben vagy teraszon. Ez az ideális választás azoknak, akik egyedi megjelenésű, de mégis praktikus világítási megoldást keresnek.
Energiatakarékos működés napelemmel
A lámpa beépített napelemének köszönhetően napközben feltöltődik, hogy éjjel automatikusan világítson. A 1 x 1,2V gombelem (40mAh) biztosítja a folyamatos működést, így nincs szükség hálózati áramforrásra, ami nemcsak gazdaságos, hanem környezetbarát megoldást is jelent.
Tartós és időjárásálló kialakítás
A lámpa műgyanta és műanyag kombinációjából készült, amely biztosítja a hosszú élettartamot és az időjárásállóságot. Ellenáll az esőnek és a napsugárzásnak, így tökéletes választás kültéri használatra.
Kompakt méretek és könnyű kezelhetőség
A lámpa kompakt mérete (6,3 x 5,5 x 8,3 cm / 6,7 x 4 x 8,7 cm) és könnyű súlya (105 g / 120 g) lehetővé teszi, hogy egyszerűen elhelyezhető legyen a kert bármely pontján, vagy akár teraszon, erkélyen is.
Miért válassza a Home MX670 napelemes kerti kisállat-lámpát?
- Egyedi kisállat-design, amely feldobja a kertet
- Kellemes melegfehér fényhatás, barátságos légkört teremt
- Beépített napelem a fenntartható és gazdaságos működésért
- Időjárásálló kivitel a hosszú élettartam érdekében
- Kompakt méretek és könnyű kezelhetőség
Tegye kertjét egyedivé a Home MX670 napelemes kerti kisállatok lámpával! Válassza ezt a bájos és környezetbarát világítást, hogy kertje vagy terasza mindenki számára emlékezetes legyen. Élvezze a hangulatvilágítást, amely egyszerre dekoratív és praktikus!</t>
        </is>
      </c>
    </row>
    <row r="1074">
      <c r="A1074" s="3" t="inlineStr">
        <is>
          <t>MX842</t>
        </is>
      </c>
      <c r="B1074" s="2" t="inlineStr">
        <is>
          <t>Home MX842 napelemes kerti lámpa, 1 db melegfehér LED, akkumulátor, fekete műanyag, 24db-os szett</t>
        </is>
      </c>
      <c r="C1074" s="1" t="n">
        <v>519.0</v>
      </c>
      <c r="D1074" s="7" t="n">
        <f>HYPERLINK("https://www.somogyi.hu/product/home-mx842-napelemes-kerti-lampa-1-db-melegfeher-led-akkumulator-fekete-muanyag-24db-os-szett-mx842-19016","https://www.somogyi.hu/product/home-mx842-napelemes-kerti-lampa-1-db-melegfeher-led-akkumulator-fekete-muanyag-24db-os-szett-mx842-19016")</f>
        <v>0.0</v>
      </c>
      <c r="E1074" s="7" t="n">
        <f>HYPERLINK("https://www.somogyi.hu/data/img/product_main_images/small/19016.jpg","https://www.somogyi.hu/data/img/product_main_images/small/19016.jpg")</f>
        <v>0.0</v>
      </c>
      <c r="F1074" s="2" t="inlineStr">
        <is>
          <t>5999084970109</t>
        </is>
      </c>
      <c r="G1074" s="4" t="inlineStr">
        <is>
          <t>Hogyan dobhatja fel kertjét egy elegáns és energiatakarékos napelemes lámpával?
A Home MX842 napelemes kerti lámpa tökéletes választás, ha praktikus és dekoratív megoldást keres udvarának vagy kertjének megvilágítására. Ez a letisztult, fekete műanyagból készült lámpa nemcsak energiatakarékos, hanem stílusos megjelenésével bármilyen környezethez illeszkedik.
Innovatív napelemes technológia
A lámpa beépített napelem és akkumulátor töltőjének köszönhetően nappal hatékonyan tárolja a nap energiáját, hogy éjszaka megbízható fényt biztosítson. A 1,2 V-os, 40 mAh Ni-MH gombakkumulátor gondoskodik az energiatárolásról, így nincs szükség hálózati csatlakozásra.
Praktikus és időjárásálló kialakítás
A lámpa időjárásnak ellenálló műanyag burkolattal rendelkezik, így esőben vagy párás időben is kiválóan használható. Az ø4,5 cm x 30,5 cm méretű leszúrótüske egyszerű és gyors telepítést tesz lehetővé, legyen szó pázsitról, ösvényekről vagy virágágyásokról.
Melegfehér LED fényforrás
A lámpa egy darab melegfehér LED-del van felszerelve, amely kellemes, lágy fényt áraszt, tökéletesen megteremtve a hangulatos esti atmoszférát. A be-ki kapcsoló segítségével egyszerűen szabályozható a működése.
Gazdaságos és környezetbarát megoldás
A napelemes működés nemcsak energiatakarékos, hanem fenntartható megoldás is. Ezzel a lámpával hozzájárulhat a környezetvédelemhez, miközben csökkenti a villanyszámláját.
Miért válassza a Home MX842 napelemes kerti lámpát?
- Kiváló minőségű anyagok: Strapabíró műanyag burkolat az időjárásállóság érdekében
- Egyszerű telepítés: Leszúrható kialakítás a könnyű rögzítéshez
- Energiatakarékos technológia: Napelemmel működik, hálózati csatlakozás nélkül
- Hangulatos megvilágítás: Melegfehér LED fényforrás a kellemes esti fényért
- Kompakt méret: Ideális kisebb kertek, teraszok vagy ösvények megvilágítására
Hozza ki a legtöbbet kertjéből a Home MX842 napelemes kerti lámpával! Válassza ezt az energiatakarékos és praktikus világítási megoldást, amely egyszerre stílusos és fenntartható. Vásárolja meg a 24 darabos szettben, hogy egységes fényhatást teremtsen kültéri tereiben!</t>
        </is>
      </c>
    </row>
    <row r="1075">
      <c r="A1075" s="3" t="inlineStr">
        <is>
          <t>MX649S</t>
        </is>
      </c>
      <c r="B1075" s="2" t="inlineStr">
        <is>
          <t>Home MX649S napelemes kerti lámpa, süni villanykörtével, 1 db melegfehér filament LED, 300 mAh akkumulátor, 899 g, műgyanta</t>
        </is>
      </c>
      <c r="C1075" s="1" t="n">
        <v>6590.0</v>
      </c>
      <c r="D1075" s="7" t="n">
        <f>HYPERLINK("https://www.somogyi.hu/product/home-mx649s-napelemes-kerti-lampa-suni-villanykortevel-1-db-melegfeher-filament-led-300-mah-akkumulator-899-g-mugyanta-mx649s-18999","https://www.somogyi.hu/product/home-mx649s-napelemes-kerti-lampa-suni-villanykortevel-1-db-melegfeher-filament-led-300-mah-akkumulator-899-g-mugyanta-mx649s-18999")</f>
        <v>0.0</v>
      </c>
      <c r="E1075" s="7" t="n">
        <f>HYPERLINK("https://www.somogyi.hu/data/img/product_main_images/small/18999.jpg","https://www.somogyi.hu/data/img/product_main_images/small/18999.jpg")</f>
        <v>0.0</v>
      </c>
      <c r="F1075" s="2" t="inlineStr">
        <is>
          <t>5999084969936</t>
        </is>
      </c>
      <c r="G1075" s="4" t="inlineStr">
        <is>
          <t>Szeretne olyan környezetbarát világítást, amely stílust is ad a kertjének? A Home MX649S napelemes kerti lámpa tökéletes választás a hangulatos és energiatakarékos kültéri megvilágításhoz.
A sünis lámpa egy melegfehér filament LED-et tartalmaz, amely kellemes fényt biztosít az esti órákban. Beépített 1,2V-os, 300mAh-s akkumulátorral működik, amely nappal feltöltődik a napenergia segítségével, így éjjel automatikusan bekapcsol. A be/ki kapcsoló lehetőséget nyújt a manuális vezérlésre. Az erős műgyanta anyag biztosítja a lámpa tartósságát és ellenállóságát az időjárási viszontagságokkal szemben. Kompakt mérete (14,5 x 13,5 x 18 cm) és súlya (899g) tökéletes választás bármilyen kültéri környezetbe.
Frissítse kertjét ezzel a praktikus, dekoratív megoldással, és élvezze a meleg, hangulatos fényt!</t>
        </is>
      </c>
    </row>
    <row r="1076">
      <c r="A1076" s="3" t="inlineStr">
        <is>
          <t>MX 809</t>
        </is>
      </c>
      <c r="B1076" s="2" t="inlineStr">
        <is>
          <t>Home MX 809 napelemes kerti lámpa, 1 db LED, fém, időjárásálló, automatikus, hidegfehér</t>
        </is>
      </c>
      <c r="C1076" s="1" t="n">
        <v>1290.0</v>
      </c>
      <c r="D1076" s="7" t="n">
        <f>HYPERLINK("https://www.somogyi.hu/product/home-mx-809-napelemes-kerti-lampa-1-db-led-fem-idojarasallo-automatikus-hidegfeher-mx-809-17605","https://www.somogyi.hu/product/home-mx-809-napelemes-kerti-lampa-1-db-led-fem-idojarasallo-automatikus-hidegfeher-mx-809-17605")</f>
        <v>0.0</v>
      </c>
      <c r="E1076" s="7" t="n">
        <f>HYPERLINK("https://www.somogyi.hu/data/img/product_main_images/small/17605.jpg","https://www.somogyi.hu/data/img/product_main_images/small/17605.jpg")</f>
        <v>0.0</v>
      </c>
      <c r="F1076" s="2" t="inlineStr">
        <is>
          <t>5999084956271</t>
        </is>
      </c>
      <c r="G1076" s="4" t="inlineStr">
        <is>
          <t>Tegye kertjét vagy teraszát még varázslatosabbá napelemes kerti lámpánkkal. Kiváló minőségű kivitelének és praktikus funkcióinak köszönhetően nemcsak dekoratív, hanem energiahatékony megoldást is nyújt. Időjárásnak ellenálló kivitelben készült, mely biztosítja, hogy a lámpa hosszú távon is kiválóan használható esős és napos időben egyaránt. Fényét 1 db fehér LED adja, amely kellemes, lágy fényével hangulatos atmoszférát teremt. A lámpa beépített fényérzékelővel rendelkezik, ami lehetővé teszi az automatikus be- és kikapcsolást. A kerti lámpába épített napelem és akkumulátor töltő nappal töltődik, éjjel világít. Akkumulátora 1,2 V / 100 mAh, AAA, cserélhető.</t>
        </is>
      </c>
    </row>
    <row r="1077">
      <c r="A1077" s="3" t="inlineStr">
        <is>
          <t>MXNV3</t>
        </is>
      </c>
      <c r="B1077" s="2" t="inlineStr">
        <is>
          <t>Home MXNV3 napvitorla, 140 LED, napelem, 8 program, IP44, polietilén HDPE, 1 x 1,2 V AA NiMH 1000 mAh akkumulátor, tartozék rögzítők, kül- és beltéri</t>
        </is>
      </c>
      <c r="C1077" s="1" t="n">
        <v>17590.0</v>
      </c>
      <c r="D1077" s="7" t="n">
        <f>HYPERLINK("https://www.somogyi.hu/product/home-mxnv3-napvitorla-140-led-napelem-8-program-ip44-polietilen-hdpe-1-x-1-2-v-aa-nimh-1000-mah-akkumulator-tartozek-rogzitok-kul-es-belteri-mxnv3-18335","https://www.somogyi.hu/product/home-mxnv3-napvitorla-140-led-napelem-8-program-ip44-polietilen-hdpe-1-x-1-2-v-aa-nimh-1000-mah-akkumulator-tartozek-rogzitok-kul-es-belteri-mxnv3-18335")</f>
        <v>0.0</v>
      </c>
      <c r="E1077" s="7" t="n">
        <f>HYPERLINK("https://www.somogyi.hu/data/img/product_main_images/small/18335.jpg","https://www.somogyi.hu/data/img/product_main_images/small/18335.jpg")</f>
        <v>0.0</v>
      </c>
      <c r="F1077" s="2" t="inlineStr">
        <is>
          <t>5999084963538</t>
        </is>
      </c>
      <c r="G1077" s="4" t="inlineStr">
        <is>
          <t>Van már megoldása arra, hogyan teremtsen kellemes árnyékot a kertben vagy teraszon, vagy hogy egyedi hangulatot varázsoljon az esti órákba? A Home MXNV3 napvitorla nem csak árnyékot biztosít a napfényes órákban, hanem a beépített napelemes rendszerrel este melegfehér fényt áraszt.
Ez a sokoldalú napvitorla kül- és beltéri használatra is alkalmas, így tökéletes választás a kertben, teraszon vagy akár a fedett területeken. A 140 db melegfehér LED biztosítja a hangulatos világítást, amely 8 különböző programon keresztül szabályozható, így minden alkalomhoz illő atmoszférát teremthet. Az IP44 besorolás azt jelenti, hogy a vitorla fröccsenő víz ellen védett minden irányból, így az enyhébb időjárási körülmények sem jelentenek számára problémát.
A 3 x 3 x 3 méteres mérete és 85-95%-os árnyékolási képessége révén a Home MXNV3 napvitorla tökéletesen megvédi Önt a nap erős sugárzásától. A tartós polietilén HDPE anyag hosszú élettartamot és ellenállóságot garantál. Az 1 db 1,2V AA NiMH 1000 mAh akkumulátor biztosítja a LED-ek energiaellátását. A csomag tartalmaz minden szükséges zsinórt és rögzítő elemet a vitorla könnyű felszereléséhez.
Ne hagyja ki a lehetőséget, hogy a Home MXNV3 napvitorlával egyedi és kényelmes környezetet teremtsen otthonában vagy kertjében. Rendelje meg most, és élvezze az árnyékot és a hangulatos világítást a nyári estéken!</t>
        </is>
      </c>
    </row>
    <row r="1078">
      <c r="A1078" s="3" t="inlineStr">
        <is>
          <t>MX 639</t>
        </is>
      </c>
      <c r="B1078" s="2" t="inlineStr">
        <is>
          <t>Home MX 639 napelemes kerti lámpa, gomba / bagoly / csiga, 2 db fehér LED, automatikus, akkumulátoros</t>
        </is>
      </c>
      <c r="C1078" s="1" t="n">
        <v>2590.0</v>
      </c>
      <c r="D1078" s="7" t="n">
        <f>HYPERLINK("https://www.somogyi.hu/product/home-mx-639-napelemes-kerti-lampa-gomba-bagoly-csiga-2-db-feher-led-automatikus-akkumulatoros-mx-639-17602","https://www.somogyi.hu/product/home-mx-639-napelemes-kerti-lampa-gomba-bagoly-csiga-2-db-feher-led-automatikus-akkumulatoros-mx-639-17602")</f>
        <v>0.0</v>
      </c>
      <c r="E1078" s="7" t="n">
        <f>HYPERLINK("https://www.somogyi.hu/data/img/product_main_images/small/17602.jpg","https://www.somogyi.hu/data/img/product_main_images/small/17602.jpg")</f>
        <v>0.0</v>
      </c>
      <c r="F1078" s="2" t="inlineStr">
        <is>
          <t>5999084956240</t>
        </is>
      </c>
      <c r="G1078" s="4" t="inlineStr">
        <is>
          <t>Tegye kertjét vagy teraszát még varázslatosabbá bagoly/csiga/gomba formájú napelemes kerti lámpával. Kiváló minőségű kivitelének és praktikus funkcióinak köszönhetően nemcsak dekoratív, hanem energiahatékony megoldást is nyújt. Időjárásnak ellenálló kivitelben készült, mely biztosítja, hogy a lámpa hosszú távon is kiválóan használható esős és napos időben egyaránt. Fényüket 2 db fehér LED adja, amely kellemes, lágy fényével hangulatos atmoszférát teremt. A lámpa beépített fényérzékelővel rendelkezik, ami lehetővé teszi az automatikus be- és kikapcsolást. A kerti lámpába épített napelem és akkumulátor töltő nappal töltődik, éjjel világít. Akkumulátora 1,2 V / 40 mAh, Ni-MH.</t>
        </is>
      </c>
    </row>
    <row r="1079">
      <c r="A1079" s="3" t="inlineStr">
        <is>
          <t>MX652</t>
        </is>
      </c>
      <c r="B1079" s="2" t="inlineStr">
        <is>
          <t>Home MX652 napelemes kerti lámpa, 3 db nagy fényerejű melegfehér LED, akkumulátor, IP44</t>
        </is>
      </c>
      <c r="C1079" s="1" t="n">
        <v>1750.0</v>
      </c>
      <c r="D1079" s="7" t="n">
        <f>HYPERLINK("https://www.somogyi.hu/product/home-mx652-napelemes-kerti-lampa-3-db-nagy-fenyereju-melegfeher-led-akkumulator-ip44-mx652-19006","https://www.somogyi.hu/product/home-mx652-napelemes-kerti-lampa-3-db-nagy-fenyereju-melegfeher-led-akkumulator-ip44-mx652-19006")</f>
        <v>0.0</v>
      </c>
      <c r="E1079" s="7" t="n">
        <f>HYPERLINK("https://www.somogyi.hu/data/img/product_main_images/small/19006.jpg","https://www.somogyi.hu/data/img/product_main_images/small/19006.jpg")</f>
        <v>0.0</v>
      </c>
      <c r="F1079" s="2" t="inlineStr">
        <is>
          <t>5999084970000</t>
        </is>
      </c>
      <c r="G1079" s="4" t="inlineStr">
        <is>
          <t>Hogyan biztosíthatja kertje, udvara vagy terasza megvilágítását egyszerűen és energiatakarékosan?
A Home MX652 napelemes kerti lámpa tökéletes választás azok számára, akik stílusos és hatékony kültéri világításra vágynak. Ez a praktikus lámpa nagy fényerejű LED-jeivel és sokoldalú rögzíthetőségével ideális választás az ereszcsatornák, kerítések vagy falak megvilágítására.
Erőteljes fény és energiatakarékos működés
A lámpa 3 nagy fényerejű melegfehér LED-del van felszerelve, amelyek kellemes és barátságos megvilágítást biztosítanak. A meleg színhőmérséklet tökéletes a nyugodt, otthonos hangulat megteremtéséhez, miközben az integrált napelem nappal feltölti a beépített akkumulátort, így éjjel automatikusan működésbe lép.
Sokoldalú rögzítési lehetőségek
A lámpa könnyen felszerelhető ereszcsatornára, kerítésre vagy falra, így szinte bárhol elhelyezhető, ahol szükség van világításra. A praktikus be/ki kapcsoló lehetőséget ad a manuális vezérlésre, ha azt preferálja.
Strapabíró és időjárásálló kivitel
A lámpa IP44 védelemmel rendelkezik, amely freccsenő víz ellen nyújt védelmet, így biztosítva a megbízható működést az időjárási viszontagságok közepette. A tartós műanyag alapanyag könnyű, mégis ellenálló, így hosszú élettartamot garantál.
Kompakt méret és egyszerű használat
A lámpa kompakt, ∅12 (17) x 6 cm-es méretével nem foglal sok helyet, mégis hatékony megvilágítást nyújt. Az 1 x 1,2V, 600mAh AA Ni-MH akkumulátor gondoskodik a megfelelő energiaellátásról, amely a napelemnek köszönhetően mindig feltöltött állapotban van.
Miért válassza a Home MX652 napelemes kerti lámpát?
- Nagy fényerejű melegfehér LED-ek a kellemes megvilágításért
- Sokoldalú rögzítési lehetőség ereszcsatornára, kerítésre vagy falra
- Beépített napelemes működés, amely nappal feltöltődik, éjjel világít
- IP44 védelem a freccsenő víz ellen, hogy az eszköz minden időjárásban használható legyen
- Kompakt méret és könnyű telepítés a maximális kényelemért
Tegye még hangulatosabbá kertjét vagy udvarát a Home MX652 napelemes kerti lámpával! Egyszerre kínál praktikus megoldást és energiatakarékos működést, miközben időtálló dizájnjával bármilyen kültéri környezetet feldob. Válassza a modern és fenntartható világítást még ma!</t>
        </is>
      </c>
    </row>
    <row r="1080">
      <c r="A1080" s="3" t="inlineStr">
        <is>
          <t>MX810</t>
        </is>
      </c>
      <c r="B1080" s="2" t="inlineStr">
        <is>
          <t>Home MX810 napelemes kerti lámpa, 12db-os display, műanyag, 1 db hidegfehér LED, kültéri, beltéri</t>
        </is>
      </c>
      <c r="C1080" s="1" t="n">
        <v>859.0</v>
      </c>
      <c r="D1080" s="7" t="n">
        <f>HYPERLINK("https://www.somogyi.hu/product/home-mx810-napelemes-kerti-lampa-12db-os-display-muanyag-1-db-hidegfeher-led-kulteri-belteri-mx810-18342","https://www.somogyi.hu/product/home-mx810-napelemes-kerti-lampa-12db-os-display-muanyag-1-db-hidegfeher-led-kulteri-belteri-mx810-18342")</f>
        <v>0.0</v>
      </c>
      <c r="E1080" s="7" t="n">
        <f>HYPERLINK("https://www.somogyi.hu/data/img/product_main_images/small/18342.jpg","https://www.somogyi.hu/data/img/product_main_images/small/18342.jpg")</f>
        <v>0.0</v>
      </c>
      <c r="F1080" s="2" t="inlineStr">
        <is>
          <t>5999084963606</t>
        </is>
      </c>
      <c r="G1080" s="4" t="inlineStr">
        <is>
          <t>Egy mesésen megvilágított kertről vagy teraszról álmodik, ahol a fények magukkal ragadják a tekintetet? A Home MX810 napelemes kerti lámpák segítenek ezt az álmot valóra váltani. Ez a 12 darabos display készlet tökéletes választás, ha egyedi, mégis környezetbarát megoldást keres kertje vagy otthona dekorálására.
A lámpák tartós műanyag és rozsdamentes fém anyagból készülnek, amely garantálja a hosszú élettartamot kültéri használat során is. Minden egyes lámpa egy hidegfehér LED-del rendelkezik, amely kellemes fényt biztosít. A napelemeknek köszönhetően ezek a lámpák napközben töltődnek, és sötétedés után pedig automatikusan felkapcsolnak és világítanak.
A beépített 1,2 V 40 mAh HB40 gombakkumulátor (NiMH) biztosítja a tartós, megbízható működést. Az akkumulátor nem cserélhető, de hosszú élettartamú, és tartósan újratölthető.
Alakítsa át kertjét vagy teraszát a Home MX810 napelemes kerti lámpákkal, amelyek nem csak dekoratívak, hanem praktikusak is. Engedje, hogy ezek a lámpák vezessék az utat a kerti ösvényen, vagy varázslatos atmoszférát teremtsenek egy esti összejövetel során.</t>
        </is>
      </c>
    </row>
    <row r="1081">
      <c r="A1081" s="3" t="inlineStr">
        <is>
          <t>MX 760</t>
        </is>
      </c>
      <c r="B1081" s="2" t="inlineStr">
        <is>
          <t>Home MX 760 napelemes kerti lámpa, 8 óra üzemidő, napelem és töltő, automatikus, 1 fehér LED, időjárásálló</t>
        </is>
      </c>
      <c r="C1081" s="1" t="n">
        <v>1590.0</v>
      </c>
      <c r="D1081" s="7" t="n">
        <f>HYPERLINK("https://www.somogyi.hu/product/home-mx-760-napelemes-kerti-lampa-8-ora-uzemido-napelem-es-tolto-automatikus-1-feher-led-idojarasallo-mx-760-8876","https://www.somogyi.hu/product/home-mx-760-napelemes-kerti-lampa-8-ora-uzemido-napelem-es-tolto-automatikus-1-feher-led-idojarasallo-mx-760-8876")</f>
        <v>0.0</v>
      </c>
      <c r="E1081" s="7" t="n">
        <f>HYPERLINK("https://www.somogyi.hu/data/img/product_main_images/small/08876.jpg","https://www.somogyi.hu/data/img/product_main_images/small/08876.jpg")</f>
        <v>0.0</v>
      </c>
      <c r="F1081" s="2" t="inlineStr">
        <is>
          <t>5998312777565</t>
        </is>
      </c>
      <c r="G1081" s="4" t="inlineStr">
        <is>
          <t>Az MX 760 egy rendkívül divatos külsővel rendelkező napelemes kerti lámpa. A világítást 1 db nagy fényerejű fehér LED szolgáltatja. A napelem természetes fényben tölti az akkut. Be- és kikapcsolódása automatikus, így Önnek csak arra lesz gondja, hogy a földbe leszúrja a lámpát. A termék előnye továbbá, hogy akár 8 órás folyamatos működést is lehetővé tesz.
Cserélhető (1,2 V/100 mAh) AA NiMH akkumulátorral rendelkezik. Mérete: ∅12,5 X 45,5 cm. Válassza a minőségi termékeket és rendeljen webáruházunkból.</t>
        </is>
      </c>
    </row>
    <row r="1082">
      <c r="A1082" s="3" t="inlineStr">
        <is>
          <t>MX661</t>
        </is>
      </c>
      <c r="B1082" s="2" t="inlineStr">
        <is>
          <t>Home MX661 napelemes kerti lámpa, öntözőkanna, leszúrható, 1 db melegfehér LED   36 db melegfehér microLED, öntözést imitáló féyneffekt, fém, 465 g</t>
        </is>
      </c>
      <c r="C1082" s="1" t="n">
        <v>6390.0</v>
      </c>
      <c r="D1082" s="7" t="n">
        <f>HYPERLINK("https://www.somogyi.hu/product/home-mx661-napelemes-kerti-lampa-ontozokanna-leszurhato-1-db-melegfeher-led-36-db-melegfeher-microled-ontozest-imitalo-feyneffekt-fem-465-g-mx661-19014","https://www.somogyi.hu/product/home-mx661-napelemes-kerti-lampa-ontozokanna-leszurhato-1-db-melegfeher-led-36-db-melegfeher-microled-ontozest-imitalo-feyneffekt-fem-465-g-mx661-19014")</f>
        <v>0.0</v>
      </c>
      <c r="E1082" s="7" t="n">
        <f>HYPERLINK("https://www.somogyi.hu/data/img/product_main_images/small/19014.jpg","https://www.somogyi.hu/data/img/product_main_images/small/19014.jpg")</f>
        <v>0.0</v>
      </c>
      <c r="F1082" s="2" t="inlineStr">
        <is>
          <t>5999084970086</t>
        </is>
      </c>
      <c r="G1082" s="4" t="inlineStr">
        <is>
          <t>Szeretné feldobni kertjét egy igazán különleges fényforrással? A Home MX661 napelemes kerti lámpa tökéletes választás, amely öntözőkannás dizájnjával és különleges LED effektjeivel lenyűgöz mindenkit.
A lámpa egy melegfehér LED-et és 36 db melegfehér microLED-et tartalmaz, amelyek öntözést imitáló futó fényű LED effektet biztosítanak. Beépített, 1,2V AA (Ni-MH), 300 mAh kapacitású akkumulátorral működik, amely napközben feltöltődik, este pedig automatikusan bekapcsol. A kanna mérete 28x14,5x16 cm, és egy 84 cm hosszú, leszúrható tartórúddal könnyedén rögzíthető a földbe. A fém anyag biztosítja a tartósságot és az elegáns megjelenést.
Díszítse kertjét ezzel a különleges lámpával, és varázsoljon hangulatos fényeket minden este!</t>
        </is>
      </c>
    </row>
    <row r="1083">
      <c r="A1083" s="3" t="inlineStr">
        <is>
          <t>MXLTN1</t>
        </is>
      </c>
      <c r="B1083" s="2" t="inlineStr">
        <is>
          <t>Home MXLTN1 napelemes lámpás, 1db melegfehér LED, valósághű lángeffekt, akkumulátor, 6db-os display</t>
        </is>
      </c>
      <c r="C1083" s="1" t="n">
        <v>2390.0</v>
      </c>
      <c r="D1083" s="7" t="n">
        <f>HYPERLINK("https://www.somogyi.hu/product/home-mxltn1-napelemes-lampas-1db-melegfeher-led-valosaghu-langeffekt-akkumulator-6db-os-display-mxltn1-19013","https://www.somogyi.hu/product/home-mxltn1-napelemes-lampas-1db-melegfeher-led-valosaghu-langeffekt-akkumulator-6db-os-display-mxltn1-19013")</f>
        <v>0.0</v>
      </c>
      <c r="E1083" s="7" t="n">
        <f>HYPERLINK("https://www.somogyi.hu/data/img/product_main_images/small/19013.jpg","https://www.somogyi.hu/data/img/product_main_images/small/19013.jpg")</f>
        <v>0.0</v>
      </c>
      <c r="F1083" s="2" t="inlineStr">
        <is>
          <t>5999084970079</t>
        </is>
      </c>
      <c r="G1083" s="4" t="inlineStr">
        <is>
          <t>Hogyan varázsolhatja kertjébe a lágy fények és a lobogó lángok romantikus hangulatát?
A Home MXLTN1 napelemes lámpás nemcsak praktikus megvilágítási megoldást nyújt, hanem a valósághű lángeffekt segítségével meghitt atmoszférát is teremt. Ideális választás udvarok, teraszok vagy erkélyek díszítésére, miközben energiatakarékosan működik.
Lenyűgöző fényhatás és megbízható működés
Ez a lámpás 1 darab melegfehér LED-del van felszerelve, amely élethűen utánozza a lobogó lángok mozgását. A valósághű lángeffekt garantálja, hogy a lámpás ne csak fényt adjon, hanem különleges vizuális élményt is nyújtson.
Napelemes technológia a fenntarthatóságért
A lámpás beépített napelem és akkumulátor töltőjének köszönhetően nappal gyűjti az energiát, hogy éjszaka káprázatos fénnyel világítson. A 1,2 V-os, 300 mAh 2/3AAA Ni-MH akkumulátor biztosítja az energiatárolást, így nincs szükség hálózati csatlakozásra.
Időjárásálló és praktikus kivitel
A 9x10x18 cm-es méret és a strapabíró műanyag burkolat biztosítja, hogy a lámpás ellenálljon az időjárás viszontagságainak. Esőben, szélben vagy erős napsütésben is hosszú távon megbízhatóan működik. A könnyű 339 grammos súly lehetővé teszi az egyszerű telepítést és áthelyezést.
Egyszerű kezelhetőség
A lámpás be-ki kapcsolóval van ellátva, hogy könnyedén szabályozható legyen a működése. A napközbeni töltés automatikusan zajlik, így Önnek csupán élveznie kell a meghitt fények látványát.
Miért válassza a Home MXLTN1 napelemes lámpást?
- Lángeffekt: Valósághű megjelenés, amely hangulatos fényt nyújt
- Fenntartható működés: Napelemmel töltődik, nincs szükség elektromos hálózatra
- Időjárásálló kivitel: Bírja az esőt és a napsütést egyaránt
- Egyszerű használat: Automatikus töltés és praktikus kapcsoló
- Kompakt méret: Könnyen elhelyezhető bármilyen kültéri környezetben
Hozza ki a legtöbbet kültéri tereiből a Home MXLTN1 napelemes lámpással! A természetes lángeffekt és az energiatakarékos technológia tökéletes kombinációja meghitt és fenntartható megvilágítást biztosít. Vásárolja meg a 6 darabos szettben, és teremtse meg otthonában a tökéletes hangulatot!</t>
        </is>
      </c>
    </row>
    <row r="1084">
      <c r="A1084" s="3" t="inlineStr">
        <is>
          <t>MX643</t>
        </is>
      </c>
      <c r="B1084" s="2" t="inlineStr">
        <is>
          <t>Home MX643 napelemes kerti lámpa, 2 db hidegfehér LED, polyresin, műanyag, 100 mAh akkumulátor (NiMH), kültéri, beltéri</t>
        </is>
      </c>
      <c r="C1084" s="1" t="n">
        <v>2190.0</v>
      </c>
      <c r="D1084" s="7" t="n">
        <f>HYPERLINK("https://www.somogyi.hu/product/home-mx643-napelemes-kerti-lampa-2-db-hidegfeher-led-polyresin-muanyag-100-mah-akkumulator-nimh-kulteri-belteri-mx643-18339","https://www.somogyi.hu/product/home-mx643-napelemes-kerti-lampa-2-db-hidegfeher-led-polyresin-muanyag-100-mah-akkumulator-nimh-kulteri-belteri-mx643-18339")</f>
        <v>0.0</v>
      </c>
      <c r="E1084" s="7" t="n">
        <f>HYPERLINK("https://www.somogyi.hu/data/img/product_main_images/small/18339.jpg","https://www.somogyi.hu/data/img/product_main_images/small/18339.jpg")</f>
        <v>0.0</v>
      </c>
      <c r="F1084" s="2" t="inlineStr">
        <is>
          <t>5999084963576</t>
        </is>
      </c>
      <c r="G1084" s="4" t="inlineStr">
        <is>
          <t>Elgondolkodott már azon, hogyan varázsolhatja kertjét mesevilággá? A Home MX643 napelemes kerti lámpák éppen erre szolgálnak! Egy tehén, bárány, kakas és malac formájú figurákban rejtőző lámpák nem csupán a nappal szerzett napfényt használják fel, hanem vidám karakterükkel is feldobják a környezetet.
A polyresin és műanyag alapanyagból készült lámpák kül- és beltérben egyaránt használhatóak, így az otthon bármely pontját megtöltheti derűs fényekkel. Minden állatka 2 db hidegfehér LED-del van felszerelve, ezzel biztosítva a hangulatos megvilágítást. Az 1x 1,2V 1/3AAA 100 mAh akkumulátorral (NiMH) működő lámpák mérete ideális a diszkrét elhelyezéshez: 9,4 x 8,5 x 13 cm.
A lámpák 12 darabos display-ben kaphatók. Fedezze fel a Home MX643 napelemes kerti lámpák varázsát, és hozzon játékos fényeket a szabadba!</t>
        </is>
      </c>
    </row>
    <row r="1085">
      <c r="A1085" s="3" t="inlineStr">
        <is>
          <t>MX 762/2</t>
        </is>
      </c>
      <c r="B1085" s="2" t="inlineStr">
        <is>
          <t>Home MX 762/2 napelemes kerti lámpa, 1 db színváltó LED, rozsdamentes fém, időjárásálló, automatikus, színes</t>
        </is>
      </c>
      <c r="C1085" s="1" t="n">
        <v>4790.0</v>
      </c>
      <c r="D1085" s="7" t="n">
        <f>HYPERLINK("https://www.somogyi.hu/product/home-mx-762-2-napelemes-kerti-lampa-1-db-szinvalto-led-rozsdamentes-fem-idojarasallo-automatikus-szines-mx-762-2-17979","https://www.somogyi.hu/product/home-mx-762-2-napelemes-kerti-lampa-1-db-szinvalto-led-rozsdamentes-fem-idojarasallo-automatikus-szines-mx-762-2-17979")</f>
        <v>0.0</v>
      </c>
      <c r="E1085" s="7" t="n">
        <f>HYPERLINK("https://www.somogyi.hu/data/img/product_main_images/small/17979.jpg","https://www.somogyi.hu/data/img/product_main_images/small/17979.jpg")</f>
        <v>0.0</v>
      </c>
      <c r="F1085" s="2" t="inlineStr">
        <is>
          <t>5999084960018</t>
        </is>
      </c>
      <c r="G1085" s="4" t="inlineStr">
        <is>
          <t>Klasszikus megjelenésű, földbe szúrható  MX 762/2 napelemes lámpa áramköltség nélkül biztosítja járdák, kerti utak, autóbejárók éjszakai megvilágítását. Éjszaka 1 db színváltós LED világít a napfénnyel táplált, beépített akkumulátornak köszönhetően. Időjárásnak ellenálló rozsdamentes fém és műanyag kivitel.</t>
        </is>
      </c>
    </row>
    <row r="1086">
      <c r="A1086" s="3" t="inlineStr">
        <is>
          <t>FLP250SOLAR</t>
        </is>
      </c>
      <c r="B1086" s="2" t="inlineStr">
        <is>
          <t>Home FLP250SOLAR napelemes LED reflektor, 250 lm, PIR mozgásérzékelő, 120° 5m, 56 db hidegfehér SMD LED, energiatakarékos, műanyag, IP44</t>
        </is>
      </c>
      <c r="C1086" s="1" t="n">
        <v>5490.0</v>
      </c>
      <c r="D1086" s="7" t="n">
        <f>HYPERLINK("https://www.somogyi.hu/product/home-flp250solar-napelemes-led-reflektor-250-lm-pir-mozgaserzekelo-120-5m-56-db-hidegfeher-smd-led-energiatakarekos-muanyag-ip44-flp250solar-18346","https://www.somogyi.hu/product/home-flp250solar-napelemes-led-reflektor-250-lm-pir-mozgaserzekelo-120-5m-56-db-hidegfeher-smd-led-energiatakarekos-muanyag-ip44-flp250solar-18346")</f>
        <v>0.0</v>
      </c>
      <c r="E1086" s="7" t="n">
        <f>HYPERLINK("https://www.somogyi.hu/data/img/product_main_images/small/18346.jpg","https://www.somogyi.hu/data/img/product_main_images/small/18346.jpg")</f>
        <v>0.0</v>
      </c>
      <c r="F1086" s="2" t="inlineStr">
        <is>
          <t>5999084963644</t>
        </is>
      </c>
      <c r="G1086" s="4" t="inlineStr">
        <is>
          <t>Ön is szeretne egy megbízható és energiahatékony megoldást a kert vagy udvar megvilágítására? A Home FLP250SOLAR napelemes LED reflektor tökéletes választás azok számára, akik korszerű és fenntartható megoldást keresnek. Ez a kifinomult reflektor 56 db hidegfehér SMD LED-del rendelkezik, amely sötétedéskor energiatakarékos üzemmódban világít, de mozgás érzékelése esetén az intenzitás 100%-ra nő, biztosítva ezzel a terület megfelelő megvilágítását.
A PIR mozgásérzékelő 120°-os érzékelési szögével és 5 méteres érzékelési távolságával gondoskodik arról, hogy a fény valóban csak akkor kapcsoljon, amikor szükség van rá. A 250 lumen fényerő és a 10000K színhőmérséklet garantálja a tiszta, és erős fényt. Az IP44 védelemnek köszönhetően a reflektor ellenáll a freccsenő víznek, így kültéren is bátran használható.
A műanyag alapanyag, valamint a mellékelt rögzítő elemek biztosítják, hogy a reflektor könnyedén és biztonságosan telepíthető legyen bármilyen kültéri helyszínen. Az akkumulátoros tápellátásnak köszönhetően nincsen szükség külső áramforrásra, a reflektor önállóan, napenergiával működik, ami jelentősen csökkenti az üzemeltetési költségeket.
Válassza a Home FLP250SOLAR napelemes LED reflektort, hogy otthona külső területei biztonságosan és takarékosan legyenek megvilágítva.</t>
        </is>
      </c>
    </row>
    <row r="1087">
      <c r="A1087" s="3" t="inlineStr">
        <is>
          <t>MX205</t>
        </is>
      </c>
      <c r="B1087" s="2" t="inlineStr">
        <is>
          <t>Home MX205 napelemes lampion, 3db-os szett, 1 db melegfehér LED, nylon, 30 g, gombakkumulátor, fehér vagy kék vagy rózsaszín</t>
        </is>
      </c>
      <c r="C1087" s="1" t="n">
        <v>3190.0</v>
      </c>
      <c r="D1087" s="7" t="n">
        <f>HYPERLINK("https://www.somogyi.hu/product/home-mx205-napelemes-lampion-3db-os-szett-1-db-melegfeher-led-nylon-30-g-gombakkumulator-feher-vagy-kek-vagy-rozsaszin-mx205-19011","https://www.somogyi.hu/product/home-mx205-napelemes-lampion-3db-os-szett-1-db-melegfeher-led-nylon-30-g-gombakkumulator-feher-vagy-kek-vagy-rozsaszin-mx205-19011")</f>
        <v>0.0</v>
      </c>
      <c r="E1087" s="7" t="n">
        <f>HYPERLINK("https://www.somogyi.hu/data/img/product_main_images/small/19011.jpg","https://www.somogyi.hu/data/img/product_main_images/small/19011.jpg")</f>
        <v>0.0</v>
      </c>
      <c r="F1087" s="2" t="inlineStr">
        <is>
          <t>5999084970055</t>
        </is>
      </c>
      <c r="G1087" s="4" t="inlineStr">
        <is>
          <t>Szeretné kertjét vagy teraszát különleges, mégis energiatakarékos világítással feldobni? A Home MX205 napelemes lampion tökéletes választás, ha hangulatos, melegfehér fényt keres, amely stílusos megjelenéssel párosul!
Ez a praktikus lampion 1 db melegfehér LED-del világít, és a beépített akkumulátor (1 x 1,2V gombakkumulátor, 40mAh) biztosítja az automatikus töltést napközben, hogy estére kellemes fényt áraszthasson. A be/ki kapcsolóval könnyen vezérelhető. Nylon szövetből készült, és három színben érhető el: fehér, kék és rózsaszín. Kompakt mérete (ø10 x 11,5 cm, akasztókengyel nélkül) és könnyű súlya (30g) bármilyen kültéri dekorációhoz illeszkedik.
Tegye varázslatossá a szabadtéri estéket ezzel a dekoratív lampionnal!</t>
        </is>
      </c>
    </row>
    <row r="1088">
      <c r="A1088" s="3" t="inlineStr">
        <is>
          <t>MX 650</t>
        </is>
      </c>
      <c r="B1088" s="2" t="inlineStr">
        <is>
          <t>Home MX 650 napelemes kerti lámpa, 3 db LED, automatikus, napelemes, akkumulátoros</t>
        </is>
      </c>
      <c r="C1088" s="1" t="n">
        <v>1990.0</v>
      </c>
      <c r="D1088" s="7" t="n">
        <f>HYPERLINK("https://www.somogyi.hu/product/home-mx-650-napelemes-kerti-lampa-3-db-led-automatikus-napelemes-akkumulatoros-mx-650-16715","https://www.somogyi.hu/product/home-mx-650-napelemes-kerti-lampa-3-db-led-automatikus-napelemes-akkumulatoros-mx-650-16715")</f>
        <v>0.0</v>
      </c>
      <c r="E1088" s="7" t="n">
        <f>HYPERLINK("https://www.somogyi.hu/data/img/product_main_images/small/16715.jpg","https://www.somogyi.hu/data/img/product_main_images/small/16715.jpg")</f>
        <v>0.0</v>
      </c>
      <c r="F1088" s="2" t="inlineStr">
        <is>
          <t>5999084947477</t>
        </is>
      </c>
      <c r="G1088" s="4" t="inlineStr">
        <is>
          <t>Az MX 650 Napelemes kerti lámpa hangulatos megvilágítást nyújt a kertben vagy a teraszon. Sokoldalúan felhasználható, mivel az ereszcsatornára, kerítésre vagy akár a falra is felszerelheti. A beépített napelem és akkumulátortöltő segítségével nappal töltődik, majd sötétedést követően automatikusan bekapcsol és világít. Időjárásnak ellenálló kivitelben készült.</t>
        </is>
      </c>
    </row>
    <row r="1089">
      <c r="A1089" s="3" t="inlineStr">
        <is>
          <t>MX645</t>
        </is>
      </c>
      <c r="B1089" s="2" t="inlineStr">
        <is>
          <t>Home MX645 napelemes kerti lámpa, katica forma, 2 db hidegfehér LED, políresin, 40 mAh akkumulátor (NiMH), kültéri, beltéri</t>
        </is>
      </c>
      <c r="C1089" s="1" t="n">
        <v>2490.0</v>
      </c>
      <c r="D1089" s="7" t="n">
        <f>HYPERLINK("https://www.somogyi.hu/product/home-mx645-napelemes-kerti-lampa-katica-forma-2-db-hidegfeher-led-poliresin-40-mah-akkumulator-nimh-kulteri-belteri-mx645-18338","https://www.somogyi.hu/product/home-mx645-napelemes-kerti-lampa-katica-forma-2-db-hidegfeher-led-poliresin-40-mah-akkumulator-nimh-kulteri-belteri-mx645-18338")</f>
        <v>0.0</v>
      </c>
      <c r="E1089" s="7" t="n">
        <f>HYPERLINK("https://www.somogyi.hu/data/img/product_main_images/small/18338.jpg","https://www.somogyi.hu/data/img/product_main_images/small/18338.jpg")</f>
        <v>0.0</v>
      </c>
      <c r="F1089" s="2" t="inlineStr">
        <is>
          <t>5999084963569</t>
        </is>
      </c>
      <c r="G1089" s="4" t="inlineStr">
        <is>
          <t>Egy különleges kiegészítőt keres otthona dekorációjához? A Home MX645 napelemes kerti lámpa, katica formájában, nem csak egyedi stílust kölcsönöz, hanem környezetbarát megvilágítási megoldást is nyújt. A katica vidám kiegészítője lehet kertjének vagy otthonának, és a napközben felhalmozott energiával világít éjszaka.
A polyresin alapanyagból készült lámpa kiválóan ellenáll az időjárási viszontagságoknak, így kül- és beltéri használatra egyaránt ideális. Két hidegfehér LED biztosítja a kellemes fényt, amihez a tápellátásról egy beépített 1,2 V 40 mAh HB40 gombakkumulátor (NiMH) gondoskodik, amely nem cserélhető, de hosszú távon kiszolgálja a világítást.
Méreteivel, 10,5 x (16,5/26,5) x 7 cm, tökéletesen illeszkedik bármely kertbe vagy lakásba. Engedje, hogy ez a kis katica kerti lámpa elrepítse a hangulatos esték világába. Készüljön az estékre a Home MX645 napelemes kerti lámpával!</t>
        </is>
      </c>
    </row>
    <row r="1090">
      <c r="A1090" s="3" t="inlineStr">
        <is>
          <t>FLP30SOLAR</t>
        </is>
      </c>
      <c r="B1090" s="2" t="inlineStr">
        <is>
          <t>Home FLP30SOLAR napelemes LED lámpa, 30 lm, PIR mozgásérzékelő, 3-5m, 2 db hidegfehér SMD LED, energiatakarékos, fém + műanyag, IP44</t>
        </is>
      </c>
      <c r="C1090" s="1" t="n">
        <v>3690.0</v>
      </c>
      <c r="D1090" s="7" t="n">
        <f>HYPERLINK("https://www.somogyi.hu/product/home-flp30solar-napelemes-led-lampa-30-lm-pir-mozgaserzekelo-3-5m-2-db-hidegfeher-smd-led-energiatakarekos-fem-muanyag-ip44-flp30solar-18344","https://www.somogyi.hu/product/home-flp30solar-napelemes-led-lampa-30-lm-pir-mozgaserzekelo-3-5m-2-db-hidegfeher-smd-led-energiatakarekos-fem-muanyag-ip44-flp30solar-18344")</f>
        <v>0.0</v>
      </c>
      <c r="E1090" s="7" t="n">
        <f>HYPERLINK("https://www.somogyi.hu/data/img/product_main_images/small/18344.jpg","https://www.somogyi.hu/data/img/product_main_images/small/18344.jpg")</f>
        <v>0.0</v>
      </c>
      <c r="F1090" s="2" t="inlineStr">
        <is>
          <t>5999084963620</t>
        </is>
      </c>
      <c r="G1090" s="4" t="inlineStr">
        <is>
          <t>Ön is szeretne egy megbízható és energiahatékony megoldást a kert vagy udvar megvilágítására? A Home FLP30SOLAR napelemes LED lámpa tökéletes választás azok számára, akik korszerű és fenntartható megoldást keresnek. Ez a kifinomult lámpa 2 db hidegfehér SMD LED-del rendelkezik, amely sötétedéskor energiatakarékos üzemmódban világít, de mozgás érzékelése esetén az alsó fényforrás is bekapcsolódik, biztosítva ezzel a terület megfelelő megvilágítását.
A PIR mozgásérzékelő 3 - 5 méteres érzékelési távolságával gondoskodik arról, hogy a fény valóban csak akkor kapcsoljon, amikor szükség van rá. A 30 lumen fényerő és a hideg színhőmérséklet garantálja a tiszta, természetes és erős fényt. Az IP44 védelemnek köszönhetően a reflektor ellenáll a freccsenő víznek, így kültéren is bátran használható.
A műanyag alapanyag biztosítja, hogy a lámpa könnyedén és biztonságosan telepíthető legyen bármilyen kültéri helyszínen. Az akkumulátoros tápellátásnak köszönhetően nincsen szükség külső áramforrásra, a lámpa önállóan, napenergiával működik, ami jelentősen csökkenti az üzemeltetési költségeket.
Válassza a Home FLP30SOLAR napelemes LED lámpát, hogy otthona külső területei biztonságosan és takarékosan legyenek megvilágítva.</t>
        </is>
      </c>
    </row>
    <row r="1091">
      <c r="A1091" s="3" t="inlineStr">
        <is>
          <t>MX648</t>
        </is>
      </c>
      <c r="B1091" s="2" t="inlineStr">
        <is>
          <t>Home MX648 napelemes kerti lámpa, gombaház, 1 db melegfehér LED, 450 g, műgyanta, 300 mAh akkumulátor</t>
        </is>
      </c>
      <c r="C1091" s="1" t="n">
        <v>4990.0</v>
      </c>
      <c r="D1091" s="7" t="n">
        <f>HYPERLINK("https://www.somogyi.hu/product/home-mx648-napelemes-kerti-lampa-gombahaz-1-db-melegfeher-led-450-g-mugyanta-300-mah-akkumulator-mx648-18998","https://www.somogyi.hu/product/home-mx648-napelemes-kerti-lampa-gombahaz-1-db-melegfeher-led-450-g-mugyanta-300-mah-akkumulator-mx648-18998")</f>
        <v>0.0</v>
      </c>
      <c r="E1091" s="7" t="n">
        <f>HYPERLINK("https://www.somogyi.hu/data/img/product_main_images/small/18998.jpg","https://www.somogyi.hu/data/img/product_main_images/small/18998.jpg")</f>
        <v>0.0</v>
      </c>
      <c r="F1091" s="2" t="inlineStr">
        <is>
          <t>5999084969929</t>
        </is>
      </c>
      <c r="G1091" s="4" t="inlineStr">
        <is>
          <t>Szeretne egyedi hangulatot teremteni kertjében anélkül, hogy energiát pazarolna? A Home MX648 napelemes kerti lámpa ideális választás mindenkinek, aki fenntartható és dekoratív világításra vágyik!
Ez a lámpa egy 1 db melegfehér LED-del működik, amely kellemes fényt áraszt az esti órákban. Beépített akkumulátora (1 x 1,2V, 300mAh) nappal feltöltődik, így a lámpa éjszaka automatikusan bekapcsol. A praktikus be/ki kapcsolóval egyszerűen vezérelheti a működését. A műgyantából készült lámpatest nemcsak időjárásálló, hanem stílusos kiegészítője is a kertjének. Kompakt mérete (14,5 x 13,5 x 18 cm) és súlya (450g) biztosítja a könnyű elhelyezést.
Tegye kertjét varázslatossá ezzel az energiatakarékos és tartós kerti lámpával!</t>
        </is>
      </c>
    </row>
    <row r="1092">
      <c r="A1092" s="3" t="inlineStr">
        <is>
          <t>CDS 93</t>
        </is>
      </c>
      <c r="B1092" s="2" t="inlineStr">
        <is>
          <t>Home CDS 93 szolár mécses, fém / műanyag, narancssárga LED, napelem, akkumulátoros</t>
        </is>
      </c>
      <c r="C1092" s="1" t="n">
        <v>4990.0</v>
      </c>
      <c r="D1092" s="7" t="n">
        <f>HYPERLINK("https://www.somogyi.hu/product/home-cds-93-szolar-mecses-fem-muanyag-narancssarga-led-napelem-akkumulatoros-cds-93-17606","https://www.somogyi.hu/product/home-cds-93-szolar-mecses-fem-muanyag-narancssarga-led-napelem-akkumulatoros-cds-93-17606")</f>
        <v>0.0</v>
      </c>
      <c r="E1092" s="7" t="n">
        <f>HYPERLINK("https://www.somogyi.hu/data/img/product_main_images/small/17606.jpg","https://www.somogyi.hu/data/img/product_main_images/small/17606.jpg")</f>
        <v>0.0</v>
      </c>
      <c r="F1092" s="2" t="inlineStr">
        <is>
          <t>5999084956288</t>
        </is>
      </c>
      <c r="G1092" s="4" t="inlineStr">
        <is>
          <t>Tegye kertjét vagy teraszát még varázslatosabbá 3 db-os szolár mécses szettünkkel. Kiváló minőségű kivitelének és praktikus funkcióinak köszönhetően nemcsak dekoratív, hanem energiahatékony megoldást is nyújt. Időjárásnak ellenálló kivitelben készült, mely biztosítja, hogy a lámpa hosszú távon is kiválóan használható esős és napos időben egyaránt. Fényét 1 db narancssárga LED és mécsesláng effektus adja, amely kellemes, lágy fényével hangulatos atmoszférát teremt. A lámpa beépített fényérzékelővel rendelkezik, ami lehetővé teszi az automatikus be- és kikapcsolást. A kerti lámpába épített napelem és akkumulátor töltő nappal töltődik, éjjel világít. Akkumulátora 1,2 V / 100 mAh, AAA, cserélhető.</t>
        </is>
      </c>
    </row>
    <row r="1093">
      <c r="A1093" s="3" t="inlineStr">
        <is>
          <t>MX644</t>
        </is>
      </c>
      <c r="B1093" s="2" t="inlineStr">
        <is>
          <t>Home MX644 napelemes kerti lámpa, méhecske forma, 2 db hidegfehér LED, políresin, 40 mAh akkumulátor (NiMH), kültéri, beltéri</t>
        </is>
      </c>
      <c r="C1093" s="1" t="n">
        <v>2490.0</v>
      </c>
      <c r="D1093" s="7" t="n">
        <f>HYPERLINK("https://www.somogyi.hu/product/home-mx644-napelemes-kerti-lampa-mehecske-forma-2-db-hidegfeher-led-poliresin-40-mah-akkumulator-nimh-kulteri-belteri-mx644-18337","https://www.somogyi.hu/product/home-mx644-napelemes-kerti-lampa-mehecske-forma-2-db-hidegfeher-led-poliresin-40-mah-akkumulator-nimh-kulteri-belteri-mx644-18337")</f>
        <v>0.0</v>
      </c>
      <c r="E1093" s="7" t="n">
        <f>HYPERLINK("https://www.somogyi.hu/data/img/product_main_images/small/18337.jpg","https://www.somogyi.hu/data/img/product_main_images/small/18337.jpg")</f>
        <v>0.0</v>
      </c>
      <c r="F1093" s="2" t="inlineStr">
        <is>
          <t>5999084963552</t>
        </is>
      </c>
      <c r="G1093" s="4" t="inlineStr">
        <is>
          <t>Egy különleges kiegészítőt keres otthona dekorációjához? A Home MX644 napelemes kerti lámpa, méhecske formájában, nem csak egyedi stílust kölcsönöz, hanem környezetbarát megvilágítási megoldást is nyújt. A méhecske vidám kiegészítője lehet kertjének vagy otthonának, és a napközben felhalmozott energiával világít éjszaka.
A polyresin alapanyagból készült lámpa kiválóan ellenáll az időjárási viszontagságoknak, így kül- és beltéri használatra egyaránt ideális. Két hidegfehér LED biztosítja a kellemes fényt, amihez a tápellátásról egy beépített 1,2 V 40 mAh HB40 gombakkumulátor (NiMH) gondoskodik, amely nem cserélhető, de hosszú távon kiszolgálja a világítást.
Méreteivel, 10,5 x (16,5/26,5) x 7 cm, tökéletesen illeszkedik bármely kertbe vagy lakásba. Engedje, hogy ez a kis méhecske kerti lámpa elrepítse a hangulatos esték világába. Készüljön az estékre a Home MX644 napelemes kerti lámpával!</t>
        </is>
      </c>
    </row>
    <row r="1094">
      <c r="A1094" s="3" t="inlineStr">
        <is>
          <t>MX654</t>
        </is>
      </c>
      <c r="B1094" s="2" t="inlineStr">
        <is>
          <t>Home MX654 napelemes díszvilágítás, falilámpa, 1 db melegfehér LED, akkumulátor, fém és műanyag</t>
        </is>
      </c>
      <c r="C1094" s="1" t="n">
        <v>2890.0</v>
      </c>
      <c r="D1094" s="7" t="n">
        <f>HYPERLINK("https://www.somogyi.hu/product/home-mx654-napelemes-diszvilagitas-falilampa-1-db-melegfeher-led-akkumulator-fem-es-muanyag-mx654-19007","https://www.somogyi.hu/product/home-mx654-napelemes-diszvilagitas-falilampa-1-db-melegfeher-led-akkumulator-fem-es-muanyag-mx654-19007")</f>
        <v>0.0</v>
      </c>
      <c r="E1094" s="7" t="n">
        <f>HYPERLINK("https://www.somogyi.hu/data/img/product_main_images/small/19007.jpg","https://www.somogyi.hu/data/img/product_main_images/small/19007.jpg")</f>
        <v>0.0</v>
      </c>
      <c r="F1094" s="2" t="inlineStr">
        <is>
          <t>5999084970017</t>
        </is>
      </c>
      <c r="G1094" s="4" t="inlineStr">
        <is>
          <t>Hogyan varázsolhatja szebbé (vagy teheti varázslatossá) otthona kültéri falait stílusos és energiatakarékos világítással?
A Home MX654 napelemes falilámpa egyszerű, de elegáns megoldás arra, hogy kellemes melegfehér fénnyel világítsa meg a kertjét, teraszát vagy udvarát. Ez a diszkrét falra rögzíthető lámpa ötvözi a modern technológiát és az időtálló design elemeit, miközben teljesen környezetbarát megoldást kínál.
Stílusos fényforrás melegfehér LED-del
A lámpa 1 db melegfehér SMD LED-je lágy, barátságos fényt biztosít, amely ideális választás a kültéri falak vagy bejáratok megvilágításához. A fényforrás elegendő világítást nyújt anélkül, hogy zavaró lenne, így kellemes atmoszférát teremt.
Energiatakarékos és környezetbarát működés
A beépített napelem és 1x1,2 V / 300 mAh Ni-MH akkumulátor gondoskodik arról, hogy a lámpa nappal automatikusan feltöltődjön, éjszaka pedig világítson. Ez a fenntartható működés nemcsak gazdaságos, hanem segíti az energiatakarékosságot is.
Tartós és időjárásálló kivitel
Az időjárásnak ellenálló fém és műanyag anyagok biztosítják, hogy a lámpa hosszú élettartamú és ellenálló legyen a különféle környezeti hatásokkal szemben. Ez a kiváló minőségű anyaghasználat garantálja, hogy a lámpa mindig jól nézzen ki, még évek múlva is.
Egyszerű felszerelés és praktikus használat
A lámpa falra rögzíthető, így gyorsan és egyszerűen telepíthető a kívánt helyre. A praktikus be/ki kapcsolólehetőséget ad a manuális vezérlésre, ha azt preferálja. Kompakt méretének köszönhetően (8 x 11,5 x 12,5 cm) bármilyen falon könnyedén elfér, miközben mindössze 250 g tömegű.
Miért válassza a Home MX654 napelemes falilámpát?
- Melegfehér LED-del kellemes és barátságos megvilágítást biztosít
- Beépített napelem és akkumulátor, amely nappal töltődik, éjjel világít
- Időjárásálló kivitel, amely hosszú távú használatot garantál
- Egyszerű falra szerelhetőség és kompakt kialakítás
- Környezetbarát működés, amely energiát takarít meg
Dobja fel otthona külsejét a Home MX654 napelemes falilámpával! Ez a dekoratív, energiatakarékos megoldás nemcsak praktikus, hanem stílusos kiegészítője is lehet kertjének vagy udvarának. Válassza a modern és fenntartható világítást, amely minden alkalommal lenyűgözi majd Önt és vendégeit!</t>
        </is>
      </c>
    </row>
    <row r="1095">
      <c r="A1095" s="3" t="inlineStr">
        <is>
          <t>MX655</t>
        </is>
      </c>
      <c r="B1095" s="2" t="inlineStr">
        <is>
          <t>Home MX655 napelemes kerti lámpa, 6 db-os display, 1 db melegfehér filament LED, műanyag, 160 g</t>
        </is>
      </c>
      <c r="C1095" s="1" t="n">
        <v>2990.0</v>
      </c>
      <c r="D1095" s="7" t="n">
        <f>HYPERLINK("https://www.somogyi.hu/product/home-mx655-napelemes-kerti-lampa-6-db-os-display-1-db-melegfeher-filament-led-muanyag-160-g-mx655-19012","https://www.somogyi.hu/product/home-mx655-napelemes-kerti-lampa-6-db-os-display-1-db-melegfeher-filament-led-muanyag-160-g-mx655-19012")</f>
        <v>0.0</v>
      </c>
      <c r="E1095" s="7" t="n">
        <f>HYPERLINK("https://www.somogyi.hu/data/img/product_main_images/small/19012.jpg","https://www.somogyi.hu/data/img/product_main_images/small/19012.jpg")</f>
        <v>0.0</v>
      </c>
      <c r="F1095" s="2" t="inlineStr">
        <is>
          <t>5999084970062</t>
        </is>
      </c>
      <c r="G1095" s="4" t="inlineStr">
        <is>
          <t>Szeretné kertjét vagy teraszát stílusos világítással feldobni? A Home MX655 napelemes kerti lámpa tökéletes választás, ha energiatakarékos, mégis hangulatos világításra vágyik!
Ez a vintage kialakítású kerti lámpa 1 db melegfehér filament LED-del világít, amely kellemes, lágy fényt biztosít az esti órákban. A beépített akkumulátor (1 x 1,2V AAA, Ni-MH, 300mAh) nappal feltöltődik, így a lámpa éjszaka automatikusan működik. A be/ki kapcsolóval könnyen vezérelhető, míg a műanyag anyagú lámpatest időjárásálló és tartós. Kompakt mérete (18,5x18,5x20 cm) és könnyű súlya (160g) lehetővé teszi a könnyű elhelyezést bárhol a kertben vagy a teraszon.
Hozza létre a tökéletes kerti atmoszférát ezzel a megbízható és dekoratív napelemes lámpával!</t>
        </is>
      </c>
    </row>
    <row r="1096">
      <c r="A1096" s="3" t="inlineStr">
        <is>
          <t>MX301</t>
        </is>
      </c>
      <c r="B1096" s="2" t="inlineStr">
        <is>
          <t>Home MX301 napelemes kerti fáklya, 12 db sárga SMD LED, fáklyaláng effektus, műanyag, 110 g, 12 db/display</t>
        </is>
      </c>
      <c r="C1096" s="1" t="n">
        <v>1450.0</v>
      </c>
      <c r="D1096" s="7" t="n">
        <f>HYPERLINK("https://www.somogyi.hu/product/home-mx301-napelemes-kerti-faklya-12-db-sarga-smd-led-faklyalang-effektus-muanyag-110-g-12-db-display-mx301-18996","https://www.somogyi.hu/product/home-mx301-napelemes-kerti-faklya-12-db-sarga-smd-led-faklyalang-effektus-muanyag-110-g-12-db-display-mx301-18996")</f>
        <v>0.0</v>
      </c>
      <c r="E1096" s="7" t="n">
        <f>HYPERLINK("https://www.somogyi.hu/data/img/product_main_images/small/18996.jpg","https://www.somogyi.hu/data/img/product_main_images/small/18996.jpg")</f>
        <v>0.0</v>
      </c>
      <c r="F1096" s="2" t="inlineStr">
        <is>
          <t>5999084969905</t>
        </is>
      </c>
      <c r="G1096" s="4" t="inlineStr">
        <is>
          <t>Szeretné kerti világítását különleges és energiatakarékos módon megoldani? A Home MX301 napelemes kerti fáklya valósághű lánghatással hozza el a hangulatos megvilágítást!
A fáklya 12 db sárga SMD LED-del rendelkezik, amelyek lenyűgöző lánghatást keltenek, miközben a nap energiáját felhasználva működnek. A beépített akkumulátor (1 x 1,2V 2/3 AAA, 200 mAh) biztosítja az automatikus töltést napközben, így este a fáklya élettel tölti meg kertjét. A termék be- és kikapcsolóval is rendelkezik, és könnyen telepíthető.
Kompakt, műanyagból készült kialakítása (ø7,5x50 cm) és mindössze 110 g tömege lehetővé teszi, hogy bármilyen szabadtéri környezetbe egyszerűen illeszkedjen. Adjon kertjének egyedi megjelenést ezzel a praktikus és látványos fáklyával!</t>
        </is>
      </c>
    </row>
    <row r="1097">
      <c r="A1097" s="3" t="inlineStr">
        <is>
          <t>MX647</t>
        </is>
      </c>
      <c r="B1097" s="2" t="inlineStr">
        <is>
          <t>Home MX647 napelemes kerti lámpa, törpék lógó lábbal, 3 db melegfehér LED, műgyanta, akkumulátor, 12 db-os display</t>
        </is>
      </c>
      <c r="C1097" s="1" t="n">
        <v>2790.0</v>
      </c>
      <c r="D1097" s="7" t="n">
        <f>HYPERLINK("https://www.somogyi.hu/product/home-mx647-napelemes-kerti-lampa-torpek-logo-labbal-3-db-melegfeher-led-mugyanta-akkumulator-12-db-os-display-mx647-19001","https://www.somogyi.hu/product/home-mx647-napelemes-kerti-lampa-torpek-logo-labbal-3-db-melegfeher-led-mugyanta-akkumulator-12-db-os-display-mx647-19001")</f>
        <v>0.0</v>
      </c>
      <c r="E1097" s="7" t="n">
        <f>HYPERLINK("https://www.somogyi.hu/data/img/product_main_images/small/19001.jpg","https://www.somogyi.hu/data/img/product_main_images/small/19001.jpg")</f>
        <v>0.0</v>
      </c>
      <c r="F1097" s="2" t="inlineStr">
        <is>
          <t>5999084969950</t>
        </is>
      </c>
      <c r="G1097" s="4" t="inlineStr">
        <is>
          <t>Hogyan varázsolhatja kertjét játékos és hangulatos hellyé, miközben energiatakarékos megoldásokat használ?
A Home MX647 napelemes kerti lámpa törpefigurákkal szórakoztató és praktikus módja annak, hogy feldobja kertje megjelenését. Ezek az apró, részletesen kidolgozott törpefigurák melegfehér fényükkel varázslatos hangulatot teremtenek, miközben teljes mértékben környezetbarát energiaforrást használnak.
Egyedi design és hangulatos világítás
Minden törpefigurába 3 melegfehér LED van beépítve, amelyek finoman megvilágítják a törpe kezében lévő virágokat. Az aprólékosan kidolgozott műgyanta kivitel és a lógó lábú design játékos és bájos megjelenést biztosít, így tökéletes kiegészítője lehet kertjének, teraszának vagy erkélyének.
Környezetbarát és egyszerű működés
A lámpák beépített napelemmel és akkumulátorral rendelkeznek, amely 1,2V 80mAh Ni-MH gombakkumulátorral működik. A rendszer nappal automatikusan feltöltődik, majd éjszaka világít, így Önnek nincs szüksége hálózati áramforrásra. Ez nemcsak kényelmes, hanem energiatakarékos is, miközben hozzájárul a fenntarthatósághoz.
Időjárásálló kivitel és hosszú élettartam
Az időjárásálló műgyanta alapanyagnak köszönhetően a lámpák ellenállnak az esőnek és a változó időjárási viszonyoknak, így bármilyen évszakban megbízhatóan működnek. A be/ki kapcsoló lehetővé teszi a világítás manuális szabályozását, ha szükséges.
Praktikus méret és sokoldalú használat
A törpefigurák mérete (9,1 x 6,8 x 13,5 cm; 8,5 x 6,8 x 13 cm; 9,3 x 6,8 x 13,5 cm) elegendő ahhoz, hogy dekoratív elemekként szolgáljanak anélkül, hogy túl sok helyet foglalnának. Mindössze 167 g tömegüknek köszönhetően könnyen áthelyezhetők, így mindig új megjelenést kölcsönözhet kertjének.
Miért válassza a Home MX647 napelemes kerti lámpát?
- Három melegfehér LED, amely gyönyörű és hangulatos megvilágítást biztosít
- Egyedi, törpefigurás design a kert díszítéséhez
- Beépített napelemes működés, amely nappal feltöltődik, éjjel világít
- Időjárásálló kivitel, amely ellenáll a környezeti hatásoknak
- Egyszerű telepítés és praktikus méret a sokoldalú felhasználáshoz
Válassza a Home MX647 napelemes kerti lámpát, hogy kertje egyszerre legyen szórakoztató, praktikus és fenntartható! Teremtse meg a varázslatos esti hangulatot, és lepje meg családját vagy vendégeit ezzel a különleges dekorációval.</t>
        </is>
      </c>
    </row>
    <row r="1098">
      <c r="A1098" s="3" t="inlineStr">
        <is>
          <t>MX 200</t>
        </is>
      </c>
      <c r="B1098" s="2" t="inlineStr">
        <is>
          <t>Home MX 200 napelemes kerti fáklya, 12 LED, automatikus, napelem és töltő, időjárásálló</t>
        </is>
      </c>
      <c r="C1098" s="1" t="n">
        <v>4090.0</v>
      </c>
      <c r="D1098" s="7" t="n">
        <f>HYPERLINK("https://www.somogyi.hu/product/home-mx-200-napelemes-kerti-faklya-12-led-automatikus-napelem-es-tolto-idojarasallo-mx-200-16743","https://www.somogyi.hu/product/home-mx-200-napelemes-kerti-faklya-12-led-automatikus-napelem-es-tolto-idojarasallo-mx-200-16743")</f>
        <v>0.0</v>
      </c>
      <c r="E1098" s="7" t="n">
        <f>HYPERLINK("https://www.somogyi.hu/data/img/product_main_images/small/16743.jpg","https://www.somogyi.hu/data/img/product_main_images/small/16743.jpg")</f>
        <v>0.0</v>
      </c>
      <c r="F1098" s="2" t="inlineStr">
        <is>
          <t>5999084947750</t>
        </is>
      </c>
      <c r="G1098" s="4" t="inlineStr">
        <is>
          <t>Az MX 200 Napelemes kerti fáklya valósághű lángeffekttel világít, amely nagyon hangulatos kiegészítése lehet a kertnek vagy a terasznak. Sokoldalúan felhasználható, mivel földbe szúrható, asztalra állítható vagy akár falra szerelhető, így bárhova elhelyezheti. 
A beépített napelem és akkumulátortöltő segítségével nappal töltődik, majd sötétedést követően automatikusan bekapcsol és világít. Időjárásnak ellenálló műanyag kivitelben készült.
Tegye egyedivé a teraszt, udvart vagy a virágoskertet az MX 200 napelemes kerti fáklyánkkal.</t>
        </is>
      </c>
    </row>
    <row r="1099">
      <c r="A1099" s="3" t="inlineStr">
        <is>
          <t>MX 618S</t>
        </is>
      </c>
      <c r="B1099" s="2" t="inlineStr">
        <is>
          <t>Home MX 618S napelemes kerti dekoráció, 1 db LED, automatikus, 8 óra üzemidő, szitakötő</t>
        </is>
      </c>
      <c r="C1099" s="1" t="n">
        <v>1990.0</v>
      </c>
      <c r="D1099" s="7" t="n">
        <f>HYPERLINK("https://www.somogyi.hu/product/home-mx-618s-napelemes-kerti-dekoracio-1-db-led-automatikus-8-ora-uzemido-szitakoto-mx-618s-16712","https://www.somogyi.hu/product/home-mx-618s-napelemes-kerti-dekoracio-1-db-led-automatikus-8-ora-uzemido-szitakoto-mx-618s-16712")</f>
        <v>0.0</v>
      </c>
      <c r="E1099" s="7" t="n">
        <f>HYPERLINK("https://www.somogyi.hu/data/img/product_main_images/small/16712.jpg","https://www.somogyi.hu/data/img/product_main_images/small/16712.jpg")</f>
        <v>0.0</v>
      </c>
      <c r="F1099" s="2" t="inlineStr">
        <is>
          <t>5999084947446</t>
        </is>
      </c>
      <c r="G1099" s="4" t="inlineStr">
        <is>
          <t>Az MX 618 S Napelemes kerti dekorációval dobja fel teraszát vagy kertjét. A szitakötő figurával a tetején vidám kiegészítője lehet a virágágyásoknak is. A beépített napelem és akkumulátortöltő segítségével nappal töltődik, majd sötétedést követően automatikusan bekapcsol és világít. Akár 8 órán keresztül képes folyamatosan világítani. Időjárásnak ellenálló kivitelben készült.</t>
        </is>
      </c>
    </row>
    <row r="1100">
      <c r="A1100" s="3" t="inlineStr">
        <is>
          <t>MX 655/2</t>
        </is>
      </c>
      <c r="B1100" s="2" t="inlineStr">
        <is>
          <t>Home MX 655/2 napelemes fali lámpa, 2 db SMD LED, napelem és töltő, automatikus</t>
        </is>
      </c>
      <c r="C1100" s="1" t="n">
        <v>8290.0</v>
      </c>
      <c r="D1100" s="7" t="n">
        <f>HYPERLINK("https://www.somogyi.hu/product/home-mx-655-2-napelemes-fali-lampa-2-db-smd-led-napelem-es-tolto-automatikus-mx-655-2-17981","https://www.somogyi.hu/product/home-mx-655-2-napelemes-fali-lampa-2-db-smd-led-napelem-es-tolto-automatikus-mx-655-2-17981")</f>
        <v>0.0</v>
      </c>
      <c r="E1100" s="7" t="n">
        <f>HYPERLINK("https://www.somogyi.hu/data/img/product_main_images/small/17981.jpg","https://www.somogyi.hu/data/img/product_main_images/small/17981.jpg")</f>
        <v>0.0</v>
      </c>
      <c r="F1100" s="2" t="inlineStr">
        <is>
          <t>5999084960032</t>
        </is>
      </c>
      <c r="G1100" s="4" t="inlineStr">
        <is>
          <t>Letisztult megjelenésű, falra rögzíthető MX 655/2 napelemes lámpa áramköltség nélkül biztosítja járdák, kerti utak, autóbejárók és bejárati ajtók éjszakai megvilágítását. Éjszaka 2 db melegfehér SMD LED világít a napfénnyel táplált, beépített akkumulátornak köszönhetően. Időjárásnak ellenálló festett alumínium és tejüveg kivitel. A csomagolás 2 db terméket tartalmaz. A felszereléshez szükséges csavarok nem tartozékok.</t>
        </is>
      </c>
    </row>
    <row r="1101">
      <c r="A1101" s="3" t="inlineStr">
        <is>
          <t>MX 815</t>
        </is>
      </c>
      <c r="B1101" s="2" t="inlineStr">
        <is>
          <t>Home MX 815 napelemes kerti lámpa, 1 db LED, fém és üveg, időjárásálló, automatikus, színes</t>
        </is>
      </c>
      <c r="C1101" s="1" t="n">
        <v>2290.0</v>
      </c>
      <c r="D1101" s="7" t="n">
        <f>HYPERLINK("https://www.somogyi.hu/product/home-mx-815-napelemes-kerti-lampa-1-db-led-fem-es-uveg-idojarasallo-automatikus-szines-mx-815-17101","https://www.somogyi.hu/product/home-mx-815-napelemes-kerti-lampa-1-db-led-fem-es-uveg-idojarasallo-automatikus-szines-mx-815-17101")</f>
        <v>0.0</v>
      </c>
      <c r="E1101" s="7" t="n">
        <f>HYPERLINK("https://www.somogyi.hu/data/img/product_main_images/small/17101.jpg","https://www.somogyi.hu/data/img/product_main_images/small/17101.jpg")</f>
        <v>0.0</v>
      </c>
      <c r="F1101" s="2" t="inlineStr">
        <is>
          <t>5999084951337</t>
        </is>
      </c>
      <c r="G1101" s="4" t="inlineStr">
        <is>
          <t>Az MX 815 Napelemes kerti lámpa hangulatos megvilágítást nyújt a kertben vagy a teraszon. A szolár lámpa üveg búrával ellátott, világítását 1 db színváltó LED biztosítja. A beépített napelem és akkumulátortöltő segítségével nappal töltődik, majd sötétedést követően automatikusan bekapcsol és világít. Időjárásnak ellenálló kivitelben készült.
Tegye egyedivé a teraszt, udvart vagy a virágoskertet az MX 815 napelemes kerti lámpánkkal.</t>
        </is>
      </c>
    </row>
    <row r="1102">
      <c r="A1102" s="3" t="inlineStr">
        <is>
          <t>SWF02</t>
        </is>
      </c>
      <c r="B1102" s="2" t="inlineStr">
        <is>
          <t>Home SWF02 napelemes kerti szökőkút, hat szórófej, 40cm vízoszlop, IPX8, automatikus, elem nélküli működés</t>
        </is>
      </c>
      <c r="C1102" s="1" t="n">
        <v>4990.0</v>
      </c>
      <c r="D1102" s="7" t="n">
        <f>HYPERLINK("https://www.somogyi.hu/product/home-swf02-napelemes-kerti-szokokut-hat-szorofej-40cm-vizoszlop-ipx8-automatikus-elem-nelkuli-mukodes-swf02-19015","https://www.somogyi.hu/product/home-swf02-napelemes-kerti-szokokut-hat-szorofej-40cm-vizoszlop-ipx8-automatikus-elem-nelkuli-mukodes-swf02-19015")</f>
        <v>0.0</v>
      </c>
      <c r="E1102" s="7" t="n">
        <f>HYPERLINK("https://www.somogyi.hu/data/img/product_main_images/small/19015.jpg","https://www.somogyi.hu/data/img/product_main_images/small/19015.jpg")</f>
        <v>0.0</v>
      </c>
      <c r="F1102" s="2" t="inlineStr">
        <is>
          <t>5999084970093</t>
        </is>
      </c>
      <c r="G1102" s="4" t="inlineStr">
        <is>
          <t>Hogyan teheti még varázslatosabbá kertjét egy önműködő szökőkúttal?
A Home SWF02 napelemes kerti szökőkút modern technológiával és lenyűgöző dizájnnal kínálja a vízcsobogás nyugtató élményét, miközben energiát takarít meg. Ez a szökőkút nemcsak esztétikai értéket nyújt, hanem fenntartható megoldást is jelent a kültéri dekoráció terén.
Önműködő technológia a kényelem érdekében
A szökőkút beépített napelemmel működik, amely közvetlenül a nap energiáját használja fel a működéshez. Az automatikus indításnak köszönhetően nincs szükség elemre vagy akkumulátorra, így a szökőkút üzemeltetése teljesen környezetbarát és gazdaságos.
Testreszabható vízjáték
A készülékhez hat különböző szórófej tartozik, amelyek változatos vízjátékokat kínálnak. A szökőkút akár 40 cm magas vízoszlopot is létrehoz, így bármilyen kerti tó vagy medence központi eleme lehet.
Vízállóság és megbízhatóság
Az IPX8 védelem garantálja, hogy a szökőkút víz alatt is használható, akár 1 méter mélységig. Ez ideális választássá teszi tavak, kisebb medencék vagy egyedi kerti díszítések kiegészítéséhez. Az ø16 x 3 cm-es kompakt méret könnyű telepítést és rugalmas elhelyezést biztosít.
Miért válassza a Home SWF02 napelemes szökőkutat?
- Napelemmel működik: Fenntartható és gazdaságos megoldás, nincs szükség elemekre vagy akkumulátorra
- Hatféle szórófej: Variálható vízjátékok a változatos látványért
- Magas vízoszlop: Akár 40 cm magas vízsugarat hoz létre
- Időjárásálló kivitel: IPX8 védelemmel a víz alatti biztonságos használatért
- Kompakt és stílusos: Könnyen elhelyezhető, bármilyen kerti dekorációhoz illeszkedik
Hozzon létre különleges hangulatot kertjében a Home SWF02 napelemes kerti szökőkúttal! Élvezze a nyugalmat és a természetességet, amit a folyamatosan mozgó víz kínál. Ez a szökőkút nemcsak szemet gyönyörködtető, hanem környezetbarát választás is. Tegye egyedivé kertjét most!</t>
        </is>
      </c>
    </row>
    <row r="1103">
      <c r="A1103" s="6" t="inlineStr">
        <is>
          <t xml:space="preserve">   Világítás / Dekorációs világítás</t>
        </is>
      </c>
      <c r="B1103" s="6" t="inlineStr">
        <is>
          <t/>
        </is>
      </c>
      <c r="C1103" s="6" t="inlineStr">
        <is>
          <t/>
        </is>
      </c>
      <c r="D1103" s="6" t="inlineStr">
        <is>
          <t/>
        </is>
      </c>
      <c r="E1103" s="6" t="inlineStr">
        <is>
          <t/>
        </is>
      </c>
      <c r="F1103" s="6" t="inlineStr">
        <is>
          <t/>
        </is>
      </c>
      <c r="G1103" s="6" t="inlineStr">
        <is>
          <t/>
        </is>
      </c>
    </row>
    <row r="1104">
      <c r="A1104" s="3" t="inlineStr">
        <is>
          <t>LPL 10 PAPAYA</t>
        </is>
      </c>
      <c r="B1104" s="2" t="inlineStr">
        <is>
          <t>Home LPL 10 PAPAYA filament LED-es fényfüzér, 4,5 m / 10 db melegfehér filament LED, víztiszta búra, sorolható, fekete gumivezeték, adapter, kül- és beltéri kivitel</t>
        </is>
      </c>
      <c r="C1104" s="1" t="n">
        <v>16290.0</v>
      </c>
      <c r="D1104" s="7" t="n">
        <f>HYPERLINK("https://www.somogyi.hu/product/home-lpl-10-papaya-filament-led-es-fenyfuzer-4-5-m-10-db-melegfeher-filament-led-viztiszta-bura-sorolhato-fekete-gumivezetek-adapter-kul-es-belteri-kivitel-lpl-10-papaya-17892","https://www.somogyi.hu/product/home-lpl-10-papaya-filament-led-es-fenyfuzer-4-5-m-10-db-melegfeher-filament-led-viztiszta-bura-sorolhato-fekete-gumivezetek-adapter-kul-es-belteri-kivitel-lpl-10-papaya-17892")</f>
        <v>0.0</v>
      </c>
      <c r="E1104" s="7" t="n">
        <f>HYPERLINK("https://www.somogyi.hu/data/img/product_main_images/small/17892.jpg","https://www.somogyi.hu/data/img/product_main_images/small/17892.jpg")</f>
        <v>0.0</v>
      </c>
      <c r="F1104" s="2" t="inlineStr">
        <is>
          <t>5999084959142</t>
        </is>
      </c>
      <c r="G1104" s="4" t="inlineStr">
        <is>
          <t>Szeretne vidám hangulatot csempészni otthonába vagy kertjébe, még a szürke hétköznapokon is? A LPL 10 PAPAYA pontosan ezt kínálja Önnek!
Ez a kül- és beltéri kivitelű fényfüzér egyszerre hozza el Önnek a modern dizájnt és a jó hangulatot, köszönhetően a 10 víztiszta, műanyag papaya alakú búrájának. 
Minden egyes búra szívében 1 db melegfehér, állófényű filament LED gyöngyözik, ami igazi melegséget kölcsönöz a környezetének. A fekete gumivezeték diszkréten, mégis stílusosan egészíti ki a dizájnt. 
A kültéri IP44-es hálózati adapter pedig biztosítja a megbízható működést. És a legjobb hír: ha több fényre vágyik, egy hálózati csatlakozással akár 3 darab LPL 10 PAPAYA-t is sorolhat, így 30 papaya búrával dobná fel környezetét!
Ne hagyja ki ezt a lehetőséget! Az LPL 10 PAPAYA nem csak világít, hanem hangulatot is teremt!</t>
        </is>
      </c>
    </row>
    <row r="1105">
      <c r="A1105" s="3" t="inlineStr">
        <is>
          <t>LPL 10 GLOBE</t>
        </is>
      </c>
      <c r="B1105" s="2" t="inlineStr">
        <is>
          <t>Home LPL 10 GLOBE micro LED-es fényfüzér, 4,5 m / 200 db melegfehér micro LED, víztiszta búra, sorolható, fekete gumivezeték, adapter, kül- és beltéri kivitel</t>
        </is>
      </c>
      <c r="C1105" s="1" t="n">
        <v>18290.0</v>
      </c>
      <c r="D1105" s="7" t="n">
        <f>HYPERLINK("https://www.somogyi.hu/product/home-lpl-10-globe-micro-led-es-fenyfuzer-4-5-m-200-db-melegfeher-micro-led-viztiszta-bura-sorolhato-fekete-gumivezetek-adapter-kul-es-belteri-kivitel-lpl-10-globe-17891","https://www.somogyi.hu/product/home-lpl-10-globe-micro-led-es-fenyfuzer-4-5-m-200-db-melegfeher-micro-led-viztiszta-bura-sorolhato-fekete-gumivezetek-adapter-kul-es-belteri-kivitel-lpl-10-globe-17891")</f>
        <v>0.0</v>
      </c>
      <c r="E1105" s="7" t="n">
        <f>HYPERLINK("https://www.somogyi.hu/data/img/product_main_images/small/17891.jpg","https://www.somogyi.hu/data/img/product_main_images/small/17891.jpg")</f>
        <v>0.0</v>
      </c>
      <c r="F1105" s="2" t="inlineStr">
        <is>
          <t>5999084959135</t>
        </is>
      </c>
      <c r="G1105" s="4" t="inlineStr">
        <is>
          <t>Stílusos világítási megoldást keres, ami a terasztól a nappalin át egészen a kertjéig bárhová illik? A LPL 10 GLOBE az, amire gondolt!
Ez a kül- és beltéri kivitelű fényfüzér kifinomult designjával és ∅8 cm-es víztiszta, műanyag búráival azonnal elvarázsolja. Minden egyes gömb 18 melegfehér, állófényű és 2 villogó LED-del garantálja a tökéletes hangulatot, így összesen 200 micro LED-del. 
A dizájnt a fekete gumivezeték teszi teljessé, mely a sötétben diszkréten simul bármilyen környezetbe. 
A kültéri IP44-es hálózati adapterrel egyszerűen és biztonságosan csatlakoztatható. És ami a legjobb: egy hálózati csatlakozással akár 3 ilyen fényfüzért is egymás után köthet, így összesen 30 LED gömbbel világíthatja be területét!
Ne álljon meg egy terméknél! Az LPL 10 GLOBE tökéletes választás, ha stílusos és egyedi világításra vágyik – de ne felejtse, más termékekkel nem sorolható! Legyen az Ön otthona vagy kertje is a fények játékának színtere!</t>
        </is>
      </c>
    </row>
    <row r="1106">
      <c r="A1106" s="3" t="inlineStr">
        <is>
          <t>LPL 30/M</t>
        </is>
      </c>
      <c r="B1106" s="2" t="inlineStr">
        <is>
          <t>Home LPL 30M fényfüzér, 30 db LED gömb, színes, IP44, kültéri, beltéri</t>
        </is>
      </c>
      <c r="C1106" s="1" t="n">
        <v>29890.0</v>
      </c>
      <c r="D1106" s="7" t="n">
        <f>HYPERLINK("https://www.somogyi.hu/product/home-lpl-30m-fenyfuzer-30-db-led-gomb-szines-ip44-kulteri-belteri-lpl-30-m-16048","https://www.somogyi.hu/product/home-lpl-30m-fenyfuzer-30-db-led-gomb-szines-ip44-kulteri-belteri-lpl-30-m-16048")</f>
        <v>0.0</v>
      </c>
      <c r="E1106" s="7" t="n">
        <f>HYPERLINK("https://www.somogyi.hu/data/img/product_main_images/small/16048.jpg","https://www.somogyi.hu/data/img/product_main_images/small/16048.jpg")</f>
        <v>0.0</v>
      </c>
      <c r="F1106" s="2" t="inlineStr">
        <is>
          <t>5999084940805</t>
        </is>
      </c>
      <c r="G1106" s="4" t="inlineStr">
        <is>
          <t>Varázsoljon egyedi fényjátékot otthonába az LPL 30/M LED-gömb fénysorral! 
Ez a lenyűgöző füzér tökéletesen alkalmazkodik kül- és beltéri környezetekhez egyaránt. 
A 30 db színes LED-gömb 5 cm átmérőjű műanyag lámpabúráinak harmonikus kombinációjával könnyedén teremthet hangulatos atmoszférát. 
A fekete vezeték diszkréten illeszkedik bármilyen dekorációhoz, a kültéri IP44-es hálózati adapter pedig biztosítja a biztonságos használatot. 
Ne habozzon, fedezze fel a fények varázsát az LPL 30/M fénysorral, és teremtsen egyedi hangulatot minden pillanatban!</t>
        </is>
      </c>
    </row>
    <row r="1107">
      <c r="A1107" s="3" t="inlineStr">
        <is>
          <t>FOL 1</t>
        </is>
      </c>
      <c r="B1107" s="2" t="inlineStr">
        <is>
          <t>Home FOL 1 optikai szálas LED lámpa, 3 db LED, 26 cm szálak</t>
        </is>
      </c>
      <c r="C1107" s="1" t="n">
        <v>1850.0</v>
      </c>
      <c r="D1107" s="7" t="n">
        <f>HYPERLINK("https://www.somogyi.hu/product/home-fol-1-optikai-szalas-led-lampa-3-db-led-26-cm-szalak-fol-1-17723","https://www.somogyi.hu/product/home-fol-1-optikai-szalas-led-lampa-3-db-led-26-cm-szalak-fol-1-17723")</f>
        <v>0.0</v>
      </c>
      <c r="E1107" s="7" t="n">
        <f>HYPERLINK("https://www.somogyi.hu/data/img/product_main_images/small/17723.jpg","https://www.somogyi.hu/data/img/product_main_images/small/17723.jpg")</f>
        <v>0.0</v>
      </c>
      <c r="F1107" s="2" t="inlineStr">
        <is>
          <t>5999084957452</t>
        </is>
      </c>
      <c r="G1107" s="4" t="inlineStr">
        <is>
          <t>Szeretne egy dekoratív fényforrást, amely különleges hangulatot teremt nappaliban, hálószobában vagy akár irodában? A Home FOL 1 optikai szálas LED lámpa tökéletes választás, ha látványos, folyamatosan változó fényhatással szeretné feldobni a beltéri tereket.
Ez a modern LED lámpa 3 színes LED-del (piros, kék, zöld) van felszerelve, amelyek folyamatos színváltást biztosítanak, így mindig új vizuális élményt nyújt. Az optikai szálak elegánsan szórják szét a fényt, ami nyugtató és egyben szemet gyönyörködtető hatást kelt. A tápellátást 3 darab AA elem biztosítja (nem tartozék), így bárhol elhelyezhető a helyiségben, ahol nincs szükség közvetlen hálózati csatlakozásra. A kompakt, beltéri kialakításának köszönhetően könnyen beilleszthető bármilyen dekorációba.
Tegye különlegessé otthonát vagy irodáját ezzel a lenyűgöző optikai szálas LED lámpával – rendelje meg most, és élvezze a folyamatosan változó színek varázsát!</t>
        </is>
      </c>
    </row>
    <row r="1108">
      <c r="A1108" s="3" t="inlineStr">
        <is>
          <t>CDX 1</t>
        </is>
      </c>
      <c r="B1108" s="2" t="inlineStr">
        <is>
          <t>Home CDX 1 LED-es mécses, fehér, narancssárga pislákoló LED, 60 napos működés</t>
        </is>
      </c>
      <c r="C1108" s="1" t="n">
        <v>929.0</v>
      </c>
      <c r="D1108" s="7" t="n">
        <f>HYPERLINK("https://www.somogyi.hu/product/home-cdx-1-led-es-mecses-feher-narancssarga-pislakolo-led-60-napos-mukodes-cdx-1-9839","https://www.somogyi.hu/product/home-cdx-1-led-es-mecses-feher-narancssarga-pislakolo-led-60-napos-mukodes-cdx-1-9839")</f>
        <v>0.0</v>
      </c>
      <c r="E1108" s="7" t="n">
        <f>HYPERLINK("https://www.somogyi.hu/data/img/product_main_images/small/09839.jpg","https://www.somogyi.hu/data/img/product_main_images/small/09839.jpg")</f>
        <v>0.0</v>
      </c>
      <c r="F1108" s="2" t="inlineStr">
        <is>
          <t>5998312785614</t>
        </is>
      </c>
      <c r="G1108" s="4" t="inlineStr">
        <is>
          <t>Szeretne otthonában nyugalmas, pislákoló fényt, de elkerülné a hagyományos gyertyák veszélyeit és rövid élettartamát? A Home CDX 1 LED-es mécses tökéletes választás, ha hosszan tartó, biztonságos fényforrást keres.
Ez a LED-es mécses narancssárga, pislákoló LED-del rendelkezik, amely élethűen imitálja a gyertyaláng meleg fényét, miközben teljesen biztonságos. A fehér színű, elegáns mécses átmérője 5 cm, magassága 8 cm, így tökéletes dekoráció lehet bármely asztalon vagy polcon. A mécses kb. 60 napos folyamatos működési időt biztosít, köszönhetően a 2 darab AA elemnek (nem tartozék), így hosszú ideig élvezheti a meghitt fényt anélkül, hogy gyakran kellene cserélnie az elemeket.
Hozzon létre biztonságos és hangulatos világítást ezzel a LED-es mécsessel – rendelje meg most, és élvezze akár két hónapon át a kellemes gyertyafényt minden nap!</t>
        </is>
      </c>
    </row>
    <row r="1109">
      <c r="A1109" s="6" t="inlineStr">
        <is>
          <t xml:space="preserve">   Világítás / Hangulatvilágítás</t>
        </is>
      </c>
      <c r="B1109" s="6" t="inlineStr">
        <is>
          <t/>
        </is>
      </c>
      <c r="C1109" s="6" t="inlineStr">
        <is>
          <t/>
        </is>
      </c>
      <c r="D1109" s="6" t="inlineStr">
        <is>
          <t/>
        </is>
      </c>
      <c r="E1109" s="6" t="inlineStr">
        <is>
          <t/>
        </is>
      </c>
      <c r="F1109" s="6" t="inlineStr">
        <is>
          <t/>
        </is>
      </c>
      <c r="G1109" s="6" t="inlineStr">
        <is>
          <t/>
        </is>
      </c>
    </row>
    <row r="1110">
      <c r="A1110" s="3" t="inlineStr">
        <is>
          <t>LTN 64 FP</t>
        </is>
      </c>
      <c r="B1110" s="2" t="inlineStr">
        <is>
          <t>Home LTN 64 FP elemes látványkandalló, üveg előlap, fehér műanyag ház</t>
        </is>
      </c>
      <c r="C1110" s="1" t="n">
        <v>17590.0</v>
      </c>
      <c r="D1110" s="7" t="n">
        <f>HYPERLINK("https://www.somogyi.hu/product/home-ltn-64-fp-elemes-latvanykandallo-uveg-elolap-feher-muanyag-haz-ltn-64-fp-18104","https://www.somogyi.hu/product/home-ltn-64-fp-elemes-latvanykandallo-uveg-elolap-feher-muanyag-haz-ltn-64-fp-18104")</f>
        <v>0.0</v>
      </c>
      <c r="E1110" s="7" t="n">
        <f>HYPERLINK("https://www.somogyi.hu/data/img/product_main_images/small/18104.jpg","https://www.somogyi.hu/data/img/product_main_images/small/18104.jpg")</f>
        <v>0.0</v>
      </c>
      <c r="F1110" s="2" t="inlineStr">
        <is>
          <t>5999084961268</t>
        </is>
      </c>
      <c r="G1110" s="4" t="inlineStr">
        <is>
          <t>Gondolkodott már azon, hogy hogyan tehetné otthonát hangulatosabbá egy kandallóval, fűtési funkció nélkül? A Home LTN 64 FP elemes látványkandalló az ideális megoldás az Ön számára! 
Ez a beltéri kivitelű kandalló tökéletes választás, ha szeretné otthonába varázsolni a kandalló meghitt látványát anélkül, hogy a fűtési funkcióra lenne szüksége. A fehér műanyag ház és az üveg előlap elegáns és modern megjelenést biztosít, amely bármely helyiség stílusos kiegészítője lehet. A Home LTN 64 FP látványkandalló könnyen be- és kikapcsolható, így egyszerűen kezelhető. A készülék tápellátása 3 x 1,5 V (C) elemmel történik, amelyek nem tartozékok, de adapterről is üzemeltethető (ajánlott: MW MA06/G+), amely szintén nem tartozék. 
A kandalló kompakt mérete (63x22x13 cm) lehetővé teszi, hogy bárhol elhelyezze otthonában, legyen az nappali, hálószoba vagy akár egy hangulatos olvasósarok.
Ez a látványkandalló kiváló választás azoknak, akik egy elegáns és meghitt hangulatot szeretnének teremteni otthonukban fűtési funkció nélkül. A modern dizájn és a praktikus kialakítás révén tökéletesen illeszkedik bármilyen enteriőrbe, miközben egyedi és varázslatos atmoszférát teremt.
Ne hagyja ki ezt a lehetőséget, válassza a Home LTN 64 FP elemes látványkandallót, és tegye otthonát még hangulatosabbá – rendelje meg most, és élvezze a kandalló varázslatos látványát minden nap!</t>
        </is>
      </c>
    </row>
    <row r="1111">
      <c r="A1111" s="3" t="inlineStr">
        <is>
          <t>LTN 33 FP</t>
        </is>
      </c>
      <c r="B1111" s="2" t="inlineStr">
        <is>
          <t>Home LTN 33 FP elemes látványkandalló, üveg előlap, fehér műanyag ház</t>
        </is>
      </c>
      <c r="C1111" s="1" t="n">
        <v>10490.0</v>
      </c>
      <c r="D1111" s="7" t="n">
        <f>HYPERLINK("https://www.somogyi.hu/product/home-ltn-33-fp-elemes-latvanykandallo-uveg-elolap-feher-muanyag-haz-ltn-33-fp-18103","https://www.somogyi.hu/product/home-ltn-33-fp-elemes-latvanykandallo-uveg-elolap-feher-muanyag-haz-ltn-33-fp-18103")</f>
        <v>0.0</v>
      </c>
      <c r="E1111" s="7" t="n">
        <f>HYPERLINK("https://www.somogyi.hu/data/img/product_main_images/small/18103.jpg","https://www.somogyi.hu/data/img/product_main_images/small/18103.jpg")</f>
        <v>0.0</v>
      </c>
      <c r="F1111" s="2" t="inlineStr">
        <is>
          <t>5999084961251</t>
        </is>
      </c>
      <c r="G1111" s="4" t="inlineStr">
        <is>
          <t>Szeretne egy hangulatos kandallót otthonába, fűtési funkció nélkül? A Home LTN 33 FP elemes látványkandalló tökéletes megoldás lehet az Ön számára! 
Ez a beltéri kivitelű látványkandalló kiválóan alkalmas arra, hogy otthonába varázsolja a kandalló melegséget sugárzó látványát anélkül, hogy ténylegesen fűtene. A fehér műanyag ház és az üveg előlap modern és elegáns megjelenést biztosít, amely bármely helyiségben jól mutat. A Home LTN 33 FP látványkandalló egyszerűen be- és kikapcsolható, így könnyedén kezelhető. A tápellátás 3 x 1,5 V (C) elemmel történik, amelyek nem tartozékok, de adapterről is üzemeltethető (ajánlott: MW MA06/G+), amely szintén nem tartozék. A kompakt méret (33x21x11 cm) révén bárhol elhelyezhető, legyen az nappali, hálószoba vagy akár egy kis olvasósarok.
Ez a látványkandalló tökéletes választás azoknak, akik egy elegáns és meghitt hangulatot szeretnének teremteni otthonukban anélkül, hogy a fűtési funkcióra lenne szükségük.
Ne habozzon, válassza a Home LTN 33 FP elemes látványkandallót, és varázsolja otthonát még hangulatosabbá – rendelje meg most, és élvezze a kandalló látványát minden nap!</t>
        </is>
      </c>
    </row>
    <row r="1112">
      <c r="A1112" s="6" t="inlineStr">
        <is>
          <t xml:space="preserve">   Világítás / Mozgásérzékelős lámpa, irányfény</t>
        </is>
      </c>
      <c r="B1112" s="6" t="inlineStr">
        <is>
          <t/>
        </is>
      </c>
      <c r="C1112" s="6" t="inlineStr">
        <is>
          <t/>
        </is>
      </c>
      <c r="D1112" s="6" t="inlineStr">
        <is>
          <t/>
        </is>
      </c>
      <c r="E1112" s="6" t="inlineStr">
        <is>
          <t/>
        </is>
      </c>
      <c r="F1112" s="6" t="inlineStr">
        <is>
          <t/>
        </is>
      </c>
      <c r="G1112" s="6" t="inlineStr">
        <is>
          <t/>
        </is>
      </c>
    </row>
    <row r="1113">
      <c r="A1113" s="3" t="inlineStr">
        <is>
          <t>LNL 800</t>
        </is>
      </c>
      <c r="B1113" s="2" t="inlineStr">
        <is>
          <t>Home LNL 800 LED-es irányfény, kapcsolós (8 db LED, 3 funkció)</t>
        </is>
      </c>
      <c r="C1113" s="1" t="n">
        <v>2190.0</v>
      </c>
      <c r="D1113" s="7" t="n">
        <f>HYPERLINK("https://www.somogyi.hu/product/home-lnl-800-led-es-iranyfeny-kapcsolos-8-db-led-3-funkcio-lnl-800-18304","https://www.somogyi.hu/product/home-lnl-800-led-es-iranyfeny-kapcsolos-8-db-led-3-funkcio-lnl-800-18304")</f>
        <v>0.0</v>
      </c>
      <c r="E1113" s="7" t="n">
        <f>HYPERLINK("https://www.somogyi.hu/data/img/product_main_images/small/18304.jpg","https://www.somogyi.hu/data/img/product_main_images/small/18304.jpg")</f>
        <v>0.0</v>
      </c>
      <c r="F1113" s="2" t="inlineStr">
        <is>
          <t>5999084963262</t>
        </is>
      </c>
      <c r="G1113" s="4" t="inlineStr">
        <is>
          <t>Ön is tapasztalta már a kellemetlen érzést, amikor sötétben botorkál otthona folyosóján vagy lépcsőházában? A Home LNL 800 irányfény megoldást kínál erre a problémára.
Korszerű megjelenésű és energiatakarékos, a termék 4 darab melegfehér és 4 darab hidegfehér hosszú élettartamú LED-del rendelkezik, biztosítva ezzel a megfelelő fényerőt és atmoszférát. A fények színhőmérséklete könnyedén kiválasztható a hidegfehér (6400K), a természetes (4200K), és a melegfehér (2700K) opciók közül, így azok bármelyik helyiség hangulatához alkalmazkodnak.
A készülék ki- és bekapcsolását egy egyszerű kapcsolóval irányíthatja, ami növeli a használati kényelmet. Kifejezetten beltéri használatra tervezték, így otthona bármelyik sarkában tökéletesen funkcionál, legyen szó hálószobáról, előszobáról vagy akár a lépcsőházról. Tápellátása rendkívül gazdaságos: csupán 230V~/50Hz feszültségre és maximum 1 watt teljesítményre van szüksége, így hosszútávon is pénztárcakímélő választás.
Ne hagyja, hogy a sötétség akadályozza otthoni teendőiben! A Home LNL 800 irányfény nem csak biztonságosabbá, de hangulatosabbá is teszi otthonát. Rendelje meg most, és élvezze a megbízható és stílusos megvilágítás előnyeit!</t>
        </is>
      </c>
    </row>
    <row r="1114">
      <c r="A1114" s="3" t="inlineStr">
        <is>
          <t>PNL 7</t>
        </is>
      </c>
      <c r="B1114" s="2" t="inlineStr">
        <is>
          <t>Home PNL 7 LED mozgásérzékelős lámpa, hidegfehér, mágneses, kézilámpaként is használható</t>
        </is>
      </c>
      <c r="C1114" s="1" t="n">
        <v>2190.0</v>
      </c>
      <c r="D1114" s="7" t="n">
        <f>HYPERLINK("https://www.somogyi.hu/product/home-pnl-7-led-mozgaserzekelos-lampa-hidegfeher-magneses-kezilampakent-is-hasznalhato-pnl-7-18113","https://www.somogyi.hu/product/home-pnl-7-led-mozgaserzekelos-lampa-hidegfeher-magneses-kezilampakent-is-hasznalhato-pnl-7-18113")</f>
        <v>0.0</v>
      </c>
      <c r="E1114" s="7" t="n">
        <f>HYPERLINK("https://www.somogyi.hu/data/img/product_main_images/small/18113.jpg","https://www.somogyi.hu/data/img/product_main_images/small/18113.jpg")</f>
        <v>0.0</v>
      </c>
      <c r="F1114" s="2" t="inlineStr">
        <is>
          <t>5999084961350</t>
        </is>
      </c>
      <c r="G1114" s="4" t="inlineStr">
        <is>
          <t>Szeretné, ha minden sötét helyen automatikusan fény fogadná? A Home PNL 7 LED mozgásérzékelős lámpa tökéletes választás, ha energiatakarékos és praktikus megoldást keres otthonába, garázsába vagy bútorok megvilágításához. 
A PIR mozgásérzékelő azonnal reagál a mozgásra, és csak akkor kapcsol be, ha valóban szükséges, így biztosítja, hogy mindig fény legyen, amikor kell. Emellett a lámpa nem aktiválódik világos környezetben, így segít megóvni az elemek élettartamát. A hidegfehér fény erőteljesen megvilágítja a részleteket, ideális választás közlekedési útvonalak, szekrények, garázsok vagy akár lépcsők megvilágítására. A lámpa automatikus vagy folyamatos fény üzemmódban is használható, így rugalmasan alkalmazkodik az igényekhez. 
A beépített mágneses rögzítés lehetővé teszi, hogy gyorsan és könnyedén felszerelhető legyen bármilyen felületre, de az öntapadó ragasztóval is könnyedén rögzíthető. Ez a mozgásérzékelős lámpa nemcsak otthoni használatra ideális, de kézilámpaként is praktikus, így mindig rendelkezésre áll, amikor szükség van rá. Az elemes tápellátásnak (4 x AAA elem, nem tartozék) köszönhetően kábelek nélkül, bárhol használható.
Ne maradjon sötétben! Tegye egyszerűbbé és kényelmesebbé a mindennapjait a Home PNL 7 LED mozgásérzékelős lámpával.</t>
        </is>
      </c>
    </row>
    <row r="1115">
      <c r="A1115" s="3" t="inlineStr">
        <is>
          <t>PNL 22</t>
        </is>
      </c>
      <c r="B1115" s="2" t="inlineStr">
        <is>
          <t>Home PNL 22 LED irányfény, mozgásérzékelős, 2 W COB LED, mágneses</t>
        </is>
      </c>
      <c r="C1115" s="1" t="n">
        <v>5390.0</v>
      </c>
      <c r="D1115" s="7" t="n">
        <f>HYPERLINK("https://www.somogyi.hu/product/home-pnl-22-led-iranyfeny-mozgaserzekelos-2-w-cob-led-magneses-pnl-22-17550","https://www.somogyi.hu/product/home-pnl-22-led-iranyfeny-mozgaserzekelos-2-w-cob-led-magneses-pnl-22-17550")</f>
        <v>0.0</v>
      </c>
      <c r="E1115" s="7" t="n">
        <f>HYPERLINK("https://www.somogyi.hu/data/img/product_main_images/small/17550.jpg","https://www.somogyi.hu/data/img/product_main_images/small/17550.jpg")</f>
        <v>0.0</v>
      </c>
      <c r="F1115" s="2" t="inlineStr">
        <is>
          <t>5999084955724</t>
        </is>
      </c>
      <c r="G1115" s="4" t="inlineStr">
        <is>
          <t>Hogyan teheti otthonát biztonságosabbá és kényelmesebbé egy egyszerű, energiatakarékos irányfénnyel?
A Home PNL 22 LED irányfény ideális megoldás, ha diszkrét, mégis hatékony világítást keres. Ez a 2 W-os COB LED irányfény melegfehér fényt biztosít, amely tökéletesen alkalmazható folyosók, lépcsők vagy akár szekrények megvilágítására. A beépített mozgásérzékelő és a mágneses rögzítési lehetőség tovább növeli a termék kényelmét és sokoldalúságát.
Hatékony megvilágítás és éjszakai fény funkció
A 2 W-os COB LED nagy fényereje mellett kellemes melegfehér színt biztosít, amely nem zavaró a szemnek, így ideális éjszakai használatra is. Az irányfény kapcsolható borostyánsárga éjszakai fénnyel is rendelkezik, amely gyengébb, diszkrét világítást kínál a még kényelmesebb használat érdekében. Ez különösen praktikus, ha gyerekek vagy idősek számára szeretne biztonságos és kellemes megvilágítást biztosítani.
Mozgásérzékelő a maximális kényelemért
A beépített PIR mozgásérzékelő 4 méteres távolságban és 120°-os szögben érzékeli a mozgást, így automatikusan bekapcsol, amikor szükség van rá. Az érzékelő +30 másodperces időzítővel működik, amely megakadályozza az energiafogyasztás növekedését. Ez a funkció különösen hasznos folyosók vagy lépcsők megvilágításánál, ahol csak időszakosan van szükség fényre.
Egyszerű telepítés és rugalmas elhelyezés
A mágneses rögzítési lehetőség révén a Home PNL 22 LED irányfény szinte bárhová könnyedén felszerelhető. A mágneses hátoldal lehetővé teszi, hogy fémfelületeken stabilan rögzítse a fényt, de igény szerint akár ragasztószalaggal is elhelyezhető nem fémes felületeken. A csomagban található 2 darab irányfény lehetővé teszi, hogy otthona különböző pontjain biztosítsa a megfelelő világítást.
Miért érdemes a Home PNL 22 LED irányfényt választani?
- 2 W-os COB LED melegfehér fény, amely erőteljes, mégis kíméletes a szemnek
- Kapcsolható borostyánsárga éjszakai fény a diszkrét világításhoz
- PIR mozgásérzékelővel ellátva, amely automatikusan aktiválja a fényt
- Egyszerű mágneses rögzítési lehetőség, amely könnyű elhelyezést biztosít
- Energiatakarékos működés, amely hosszú távon is gazdaságos
Ne hagyja, hogy az éjszakai közlekedés nehézségeket okozzon! A Home PNL 22 LED irányfény segítségével otthona kényelmesebbé és biztonságosabbá válhat. Válassza ezt a praktikus és sokoldalú világítási megoldást, hogy mindig megfelelő fényben legyen része, amikor szüksége van.</t>
        </is>
      </c>
    </row>
    <row r="1116">
      <c r="A1116" s="3" t="inlineStr">
        <is>
          <t>PNL 6</t>
        </is>
      </c>
      <c r="B1116" s="2" t="inlineStr">
        <is>
          <t>Home PNL 6 LED mozgásérzékelős lámpa, melegfehér, mágneses, elemes</t>
        </is>
      </c>
      <c r="C1116" s="1" t="n">
        <v>2290.0</v>
      </c>
      <c r="D1116" s="7" t="n">
        <f>HYPERLINK("https://www.somogyi.hu/product/home-pnl-6-led-mozgaserzekelos-lampa-melegfeher-magneses-elemes-pnl-6-18112","https://www.somogyi.hu/product/home-pnl-6-led-mozgaserzekelos-lampa-melegfeher-magneses-elemes-pnl-6-18112")</f>
        <v>0.0</v>
      </c>
      <c r="E1116" s="7" t="n">
        <f>HYPERLINK("https://www.somogyi.hu/data/img/product_main_images/small/18112.jpg","https://www.somogyi.hu/data/img/product_main_images/small/18112.jpg")</f>
        <v>0.0</v>
      </c>
      <c r="F1116" s="2" t="inlineStr">
        <is>
          <t>5999084961343</t>
        </is>
      </c>
      <c r="G1116" s="4" t="inlineStr">
        <is>
          <t>Gondolt már arra, mennyire kényelmes lenne, ha a világítás automatikusan felkapcsolódna, amikor belép egy helyiségbe? A Home PNL 6 LED mozgásérzékelős lámpa pontosan ezt a kényelmet és funkcionalitást nyújtja. 
Ez az intelligens lámpa automatikusan reagál a mozgásra, így ideális választás előszobákba, folyosókra, lépcsőkhöz vagy szekrényekbe, ahol nincs szükség állandó fényforrásra, de a gyors megvilágítás mégis praktikus. A PIR mozgásérzékelő segítségével a lámpa azonnal bekapcsol, amikor mozgást érzékel, de csak akkor, ha a környezet sötét, ezzel energiát takarítva meg. A beépített fényérzékelő biztosítja, hogy világosban ne kapcsoljon fel, így az elemek hosszabb ideig bírják. A lámpa kellemes, melegfehér fényt ad, amely szembarát és nem vakít, ideális akár éjszakai használatra is.
A Home PNL 6 LED lámpa rögzítése rendkívül sokoldalú, hiszen mágnessel, ragasztással, csavarozással vagy akasztással egyaránt könnyen felszerelhető. A csomag tartalmaz egy beépített mágnest, öntapadós fémlapot, kétoldalú ragasztót és akasztószalagot, így Ön kiválaszthatja a legmegfelelőbb rögzítési módot. A lámpa elemes tápellátással működik (3 db AAA elem, nem tartozék), így nincsen szükség kábelekre vagy konnektorra. A lámpa kompakt mérete (∅8,1 x 2,4 cm) lehetővé teszi, hogy bárhol elhelyezze, anélkül hogy észrevehető lenne, miközben hatékonyan biztosítja a szükséges megvilágítást.
Ne vesztegesse tovább az energiát hagyományos világításra! Rendelje meg a Home PNL 6 LED mozgásérzékelős lámpát, és élvezze az automatikus, energiatakarékos fényt otthonában, amikor és ahol csak szüksége van rá!</t>
        </is>
      </c>
    </row>
    <row r="1117">
      <c r="A1117" s="3" t="inlineStr">
        <is>
          <t>SNL 300/T</t>
        </is>
      </c>
      <c r="B1117" s="2" t="inlineStr">
        <is>
          <t>Home SNL 300/T izzó, 7 W, E14, 2/csomag</t>
        </is>
      </c>
      <c r="C1117" s="1" t="n">
        <v>749.0</v>
      </c>
      <c r="D1117" s="7" t="n">
        <f>HYPERLINK("https://www.somogyi.hu/product/home-snl-300-t-izzo-7-w-e14-2-csomag-snl-300-t-4862","https://www.somogyi.hu/product/home-snl-300-t-izzo-7-w-e14-2-csomag-snl-300-t-4862")</f>
        <v>0.0</v>
      </c>
      <c r="E1117" s="7" t="n">
        <f>HYPERLINK("https://www.somogyi.hu/data/img/product_main_images/small/04862.jpg","https://www.somogyi.hu/data/img/product_main_images/small/04862.jpg")</f>
        <v>0.0</v>
      </c>
      <c r="F1117" s="2" t="inlineStr">
        <is>
          <t>5998312743003</t>
        </is>
      </c>
      <c r="G1117" s="4" t="inlineStr">
        <is>
          <t>SNL 310-es irányfényhez keres izzót? Akkor az SNL 300/T lesz a megfelelő választás az ÖN számára! A 7 W-os izzó garantálja a kívánt teljesítményt, amely az E-14-es foglalattal rendelkezik. Válassza a legjobb minőséget és rendelje meg webáruházunkból!</t>
        </is>
      </c>
    </row>
    <row r="1118">
      <c r="A1118" s="3" t="inlineStr">
        <is>
          <t>SLL 500</t>
        </is>
      </c>
      <c r="B1118" s="2" t="inlineStr">
        <is>
          <t>Home SLL 500 LED irányfény, fényérzékelő, automata fényerő, beltéri, 5 LED</t>
        </is>
      </c>
      <c r="C1118" s="1" t="n">
        <v>2890.0</v>
      </c>
      <c r="D1118" s="7" t="n">
        <f>HYPERLINK("https://www.somogyi.hu/product/home-sll-500-led-iranyfeny-fenyerzekelo-automata-fenyero-belteri-5-led-sll-500-9328","https://www.somogyi.hu/product/home-sll-500-led-iranyfeny-fenyerzekelo-automata-fenyero-belteri-5-led-sll-500-9328")</f>
        <v>0.0</v>
      </c>
      <c r="E1118" s="7" t="n">
        <f>HYPERLINK("https://www.somogyi.hu/data/img/product_main_images/small/09328.jpg","https://www.somogyi.hu/data/img/product_main_images/small/09328.jpg")</f>
        <v>0.0</v>
      </c>
      <c r="F1118" s="2" t="inlineStr">
        <is>
          <t>5998312781357</t>
        </is>
      </c>
      <c r="G1118" s="4" t="inlineStr">
        <is>
          <t>Gyakran felébred az éjszaka közepén? Jól jönne ilyenkor, ha lenne egy kis fény és nem kellene a villanykapcsoló után matatni? Ez esetben Önnek az SLL 500-as Led-es fényérzékelős irányfényre lesz szüksége! 
Az irányfény 5 db hosszú élettartamú LED-el lett ellátva. Előnye, hogy a LED-es izzók előnye, hogy nem bántják a szemet, sőt nyugtató hatással vannak az alvó személyre. A termék további különlegessége, hogy nem csak a be és kikapcsolása történik automatikusan, hanem a fényerőszabályozása is Mérete: 4,3 X 11,5 X 4 cm. 
Válassza a pihenéshez a legjobb minőséget és rendelje meg webáruházunkból!</t>
        </is>
      </c>
    </row>
    <row r="1119">
      <c r="A1119" s="3" t="inlineStr">
        <is>
          <t>PNL 5</t>
        </is>
      </c>
      <c r="B1119" s="2" t="inlineStr">
        <is>
          <t>Home PNL 5 LED mozgásérzékelős lámpa, 2 W COB LED, forgatható, melegfehér, mágneses, 3 üzemmód</t>
        </is>
      </c>
      <c r="C1119" s="1" t="n">
        <v>3890.0</v>
      </c>
      <c r="D1119" s="7" t="n">
        <f>HYPERLINK("https://www.somogyi.hu/product/home-pnl-5-led-mozgaserzekelos-lampa-2-w-cob-led-forgathato-melegfeher-magneses-3-uzemmod-pnl-5-16195","https://www.somogyi.hu/product/home-pnl-5-led-mozgaserzekelos-lampa-2-w-cob-led-forgathato-melegfeher-magneses-3-uzemmod-pnl-5-16195")</f>
        <v>0.0</v>
      </c>
      <c r="E1119" s="7" t="n">
        <f>HYPERLINK("https://www.somogyi.hu/data/img/product_main_images/small/16195.jpg","https://www.somogyi.hu/data/img/product_main_images/small/16195.jpg")</f>
        <v>0.0</v>
      </c>
      <c r="F1119" s="2" t="inlineStr">
        <is>
          <t>5999084942274</t>
        </is>
      </c>
      <c r="G1119" s="4" t="inlineStr">
        <is>
          <t>A PNL 5 LED-es mozgásérzékelős forgatható lámpa fényerejét a 2 W-os COB LED biztosítja. A PIR mozgásérzékelőnek köszönhetően csak akkor lép működésbe a lámpa, amikor tényleg szükség van rá. 110°-ban érzékeli a mozgást 4 m távolságban. A mágneses talp, a hozzá tartozó kétoldalas ragasztó és a csavarok segítségével számos helyre felszerelheti. 
Tápellátása 3 db 1,5 V (AAA) elem, melyet nem tartalmaz a csomagolás.</t>
        </is>
      </c>
    </row>
    <row r="1120">
      <c r="A1120" s="6" t="inlineStr">
        <is>
          <t xml:space="preserve">   Világítás / Kempinglámpa</t>
        </is>
      </c>
      <c r="B1120" s="6" t="inlineStr">
        <is>
          <t/>
        </is>
      </c>
      <c r="C1120" s="6" t="inlineStr">
        <is>
          <t/>
        </is>
      </c>
      <c r="D1120" s="6" t="inlineStr">
        <is>
          <t/>
        </is>
      </c>
      <c r="E1120" s="6" t="inlineStr">
        <is>
          <t/>
        </is>
      </c>
      <c r="F1120" s="6" t="inlineStr">
        <is>
          <t/>
        </is>
      </c>
      <c r="G1120" s="6" t="inlineStr">
        <is>
          <t/>
        </is>
      </c>
    </row>
    <row r="1121">
      <c r="A1121" s="3" t="inlineStr">
        <is>
          <t>PLZ 1/WH</t>
        </is>
      </c>
      <c r="B1121" s="2" t="inlineStr">
        <is>
          <t>Home PLZ 1/WH zsinórlámpa, 1db hidegfehér LED, beltéri kivitel, 1 méter zsinórhossz</t>
        </is>
      </c>
      <c r="C1121" s="1" t="n">
        <v>1390.0</v>
      </c>
      <c r="D1121" s="7" t="n">
        <f>HYPERLINK("https://www.somogyi.hu/product/home-plz-1-wh-zsinorlampa-1db-hidegfeher-led-belteri-kivitel-1-meter-zsinorhossz-plz-1-wh-14728","https://www.somogyi.hu/product/home-plz-1-wh-zsinorlampa-1db-hidegfeher-led-belteri-kivitel-1-meter-zsinorhossz-plz-1-wh-14728")</f>
        <v>0.0</v>
      </c>
      <c r="E1121" s="7" t="n">
        <f>HYPERLINK("https://www.somogyi.hu/data/img/product_main_images/small/14728.jpg","https://www.somogyi.hu/data/img/product_main_images/small/14728.jpg")</f>
        <v>0.0</v>
      </c>
      <c r="F1121" s="2" t="inlineStr">
        <is>
          <t>5999084927707</t>
        </is>
      </c>
      <c r="G1121" s="4" t="inlineStr">
        <is>
          <t>Szüksége van egy praktikus megoldásra, amely bárhol, bármikor megvilágítja a helyiséget?
A Home PLZ 1/WH zsinórlámpa tökéletes választás, ha egyszerű, de mégis látványos világítási megoldást keres beltéri használatra. A modern, letisztult fehér műanyag burkolat és a hozzá illő zsinór nemcsak esztétikus megjelenést kölcsönöz, hanem kényelmes kezelést is biztosít. A lámpa ki- és bekapcsolása rendkívül egyszerű: a zsinór meghúzásával azonnal irányítható a fény, így gyors és kényelmes használatot tesz lehetővé.
Kiemelkedő funkciók:
- Hidegfehér LED világítás: Az Ø 8 mm-es hidegfehér LED kellemes, erős fényt biztosít, amely ideális olvasáshoz, kisebb helyiségek megvilágításához vagy akár dekorációs célokra.
- Egyszerű működtetés: A zsinór meghúzásával könnyedén ki- és bekapcsolható, így nincs szükség bonyolult kapcsolókra vagy telepítésre.
- Könnyen elhelyezhető: A 100 cm hosszú zsinór lehetővé teszi, hogy a lámpát bárhol elhelyezze, ahol szükség van fényre – legyen az egy szekrény belseje, egy sátor vagy egy kreatívan berendezett szoba.
- Kompakt méret: A lámpa kompakt, Ø 5,5 x 15,5 cm méretű kialakítása biztosítja, hogy kis helyeken is elférjen, miközben megfelelő fényt nyújt.
Stílus és funkcionalitás egyetlen termékben
Legyen szó hangulatos dekorációról, kiegészítő világításról vagy egyszerű, hordozható fényforrásról, a Home PLZ 1/WH zsinórlámpa minden helyzetben megállja a helyét. Különösen ideális olyan helyiségekben, ahol nincs állandó áramellátás vagy ahol kreatív fényforrásra van szükség. Válassza a Home PLZ 1/WH zsinórlámpát, hogy bármikor könnyedén fényt vihessen a sötétbe!</t>
        </is>
      </c>
    </row>
    <row r="1122">
      <c r="A1122" s="6" t="inlineStr">
        <is>
          <t xml:space="preserve">   Világítás / Kézilámpa</t>
        </is>
      </c>
      <c r="B1122" s="6" t="inlineStr">
        <is>
          <t/>
        </is>
      </c>
      <c r="C1122" s="6" t="inlineStr">
        <is>
          <t/>
        </is>
      </c>
      <c r="D1122" s="6" t="inlineStr">
        <is>
          <t/>
        </is>
      </c>
      <c r="E1122" s="6" t="inlineStr">
        <is>
          <t/>
        </is>
      </c>
      <c r="F1122" s="6" t="inlineStr">
        <is>
          <t/>
        </is>
      </c>
      <c r="G1122" s="6" t="inlineStr">
        <is>
          <t/>
        </is>
      </c>
    </row>
    <row r="1123">
      <c r="A1123" s="3" t="inlineStr">
        <is>
          <t>PLR 24</t>
        </is>
      </c>
      <c r="B1123" s="2" t="inlineStr">
        <is>
          <t>Home PLR 24 LED elemlámpa, 100 lm, COB LED</t>
        </is>
      </c>
      <c r="C1123" s="1" t="n">
        <v>919.0</v>
      </c>
      <c r="D1123" s="7" t="n">
        <f>HYPERLINK("https://www.somogyi.hu/product/home-plr-24-led-elemlampa-100-lm-cob-led-plr-24-16161","https://www.somogyi.hu/product/home-plr-24-led-elemlampa-100-lm-cob-led-plr-24-16161")</f>
        <v>0.0</v>
      </c>
      <c r="E1123" s="7" t="n">
        <f>HYPERLINK("https://www.somogyi.hu/data/img/product_main_images/small/16161.jpg","https://www.somogyi.hu/data/img/product_main_images/small/16161.jpg")</f>
        <v>0.0</v>
      </c>
      <c r="F1123" s="2" t="inlineStr">
        <is>
          <t>5999084941932</t>
        </is>
      </c>
      <c r="G1123" s="4" t="inlineStr">
        <is>
          <t>Szüksége van egy megbízható és erős fényforrásra a mindennapokhoz? A Home PLR 24 LED elemlámpa kiemelkedő választás, amely megvilágítja útját bárhol, bármikor.
Egy 100 lm fényerejű COB LED-del felszerelve garantálja, hogy sosem marad sötétben. A strapabíró műanyag lámpatest biztosítja a hosszú élettartamot, míg a kompakt méret (∅30 x 98 mm) lehetővé teszi, hogy zsebben, táskában könnyedén magával vihesse. Bár az AAA elemek nem részei a csomagnak, a kis energiafogyasztású design biztosítja, hogy hosszú ideig élvezhesse a világítást anélkül, hogy gyakran kellene elemet cserélnie.
Figyelem: A termék kizárólag displayben, 24 db-os kiszerelésben rendelhető, ideális választás kiskereskedőknek vagy nagyobb mennyiségre szoruló vásárlóknak. Ne hagyja, hogy a sötétség meglepetésként érje, bízza magát a Home PLR 24 LED elemlámpára!</t>
        </is>
      </c>
    </row>
    <row r="1124">
      <c r="A1124" s="6" t="inlineStr">
        <is>
          <t xml:space="preserve">   Világítás / Bútorvilágítás, USB lámpa, tölthető kézilámpa</t>
        </is>
      </c>
      <c r="B1124" s="6" t="inlineStr">
        <is>
          <t/>
        </is>
      </c>
      <c r="C1124" s="6" t="inlineStr">
        <is>
          <t/>
        </is>
      </c>
      <c r="D1124" s="6" t="inlineStr">
        <is>
          <t/>
        </is>
      </c>
      <c r="E1124" s="6" t="inlineStr">
        <is>
          <t/>
        </is>
      </c>
      <c r="F1124" s="6" t="inlineStr">
        <is>
          <t/>
        </is>
      </c>
      <c r="G1124" s="6" t="inlineStr">
        <is>
          <t/>
        </is>
      </c>
    </row>
    <row r="1125">
      <c r="A1125" s="3" t="inlineStr">
        <is>
          <t>GL 05</t>
        </is>
      </c>
      <c r="B1125" s="2" t="inlineStr">
        <is>
          <t>Home GL 05 elemlámpa, 1 x 3 W COB LED, 4200 K, hidegfehér, nyomógombos, öntapadós felület</t>
        </is>
      </c>
      <c r="C1125" s="1" t="n">
        <v>1990.0</v>
      </c>
      <c r="D1125" s="7" t="n">
        <f>HYPERLINK("https://www.somogyi.hu/product/home-gl-05-elemlampa-1-x-3-w-cob-led-4200-k-hidegfeher-nyomogombos-ontapados-felulet-gl-05-15742","https://www.somogyi.hu/product/home-gl-05-elemlampa-1-x-3-w-cob-led-4200-k-hidegfeher-nyomogombos-ontapados-felulet-gl-05-15742")</f>
        <v>0.0</v>
      </c>
      <c r="E1125" s="7" t="n">
        <f>HYPERLINK("https://www.somogyi.hu/data/img/product_main_images/small/15742.jpg","https://www.somogyi.hu/data/img/product_main_images/small/15742.jpg")</f>
        <v>0.0</v>
      </c>
      <c r="F1125" s="2" t="inlineStr">
        <is>
          <t>5999084937768</t>
        </is>
      </c>
      <c r="G1125" s="4" t="inlineStr">
        <is>
          <t>A GL 05 segítségével stílusos LED-es világítást biztosíthatunk bútorainknak. A termék fényerejét 1 db hidegfehér COB LED biztosítja. A világítás a búrán talákható gomb megnyomásával be- és kikapcsolható. A termék rendkívül könnyen rögzíthető, hiszen a masszív műanyag ház egy öntapadós felülettel rendelkezik, így azt csak az adott bútorhoz kell nyomni. Tápellátása: 3 x 1,5 V (AAA) elem. Mérete: ∅10 x 3 cm. Válassza a minőségi termékeket és rendeljen webáruházunkból!</t>
        </is>
      </c>
    </row>
    <row r="1126">
      <c r="A1126" s="3" t="inlineStr">
        <is>
          <t>GL 03</t>
        </is>
      </c>
      <c r="B1126" s="2" t="inlineStr">
        <is>
          <t>Home GL 03 bútorvilágítás, 3 LED, hidegfehér, nyomógombos, öntapadós felület</t>
        </is>
      </c>
      <c r="C1126" s="1" t="n">
        <v>839.0</v>
      </c>
      <c r="D1126" s="7" t="n">
        <f>HYPERLINK("https://www.somogyi.hu/product/home-gl-03-butorvilagitas-3-led-hidegfeher-nyomogombos-ontapados-felulet-gl-03-15322","https://www.somogyi.hu/product/home-gl-03-butorvilagitas-3-led-hidegfeher-nyomogombos-ontapados-felulet-gl-03-15322")</f>
        <v>0.0</v>
      </c>
      <c r="E1126" s="7" t="n">
        <f>HYPERLINK("https://www.somogyi.hu/data/img/product_main_images/small/15322.jpg","https://www.somogyi.hu/data/img/product_main_images/small/15322.jpg")</f>
        <v>0.0</v>
      </c>
      <c r="F1126" s="2" t="inlineStr">
        <is>
          <t>5999084933562</t>
        </is>
      </c>
      <c r="G1126" s="4" t="inlineStr">
        <is>
          <t>A GL 03 segítségével stílusos LED-es világítóeszközt tehetünk bútorainkra. A termék fényerejét 3 db hidegfehér LED biztosítja. A világítás a búra megnyomásával be- és kikapcsolható. A termék rendkívül könnyen rögzíthető, hiszen a masszív műanyag ház egy öntapadós felülettel rendelkezik, így azt csak az adott bútorhoz kell nyomni. Tápellátása: 3 x 1,5 V (AAA) elem. Méret: ∅7 x 2,5 cm. Válassza a minőségi termékeket és rendeljen webáruházunkból!</t>
        </is>
      </c>
    </row>
    <row r="1127">
      <c r="A1127" s="6" t="inlineStr">
        <is>
          <t xml:space="preserve">   Világítás / NEBO</t>
        </is>
      </c>
      <c r="B1127" s="6" t="inlineStr">
        <is>
          <t/>
        </is>
      </c>
      <c r="C1127" s="6" t="inlineStr">
        <is>
          <t/>
        </is>
      </c>
      <c r="D1127" s="6" t="inlineStr">
        <is>
          <t/>
        </is>
      </c>
      <c r="E1127" s="6" t="inlineStr">
        <is>
          <t/>
        </is>
      </c>
      <c r="F1127" s="6" t="inlineStr">
        <is>
          <t/>
        </is>
      </c>
      <c r="G1127" s="6" t="inlineStr">
        <is>
          <t/>
        </is>
      </c>
    </row>
    <row r="1128">
      <c r="A1128" s="3" t="inlineStr">
        <is>
          <t>NEB-6746-G</t>
        </is>
      </c>
      <c r="B1128" s="2" t="inlineStr">
        <is>
          <t>NEBO NEB-6746-G TAC SLYDE zseblámpa, 300 lumen, zoom, alumínium burkolat, IPX4, 5 féle üzemmód, elemes működés</t>
        </is>
      </c>
      <c r="C1128" s="1" t="n">
        <v>6990.0</v>
      </c>
      <c r="D1128" s="7" t="n">
        <f>HYPERLINK("https://www.somogyi.hu/product/nebo-neb-6746-g-tac-slyde-zseblampa-300-lumen-zoom-aluminium-burkolat-ipx4-5-fele-uzemmod-elemes-mukodes-neb-6746-g-19290","https://www.somogyi.hu/product/nebo-neb-6746-g-tac-slyde-zseblampa-300-lumen-zoom-aluminium-burkolat-ipx4-5-fele-uzemmod-elemes-mukodes-neb-6746-g-19290")</f>
        <v>0.0</v>
      </c>
      <c r="E1128" s="7" t="n">
        <f>HYPERLINK("https://www.somogyi.hu/data/img/product_main_images/small/19290.jpg","https://www.somogyi.hu/data/img/product_main_images/small/19290.jpg")</f>
        <v>0.0</v>
      </c>
      <c r="F1128" s="2" t="inlineStr">
        <is>
          <t>5060063229164</t>
        </is>
      </c>
      <c r="G1128" s="4" t="inlineStr">
        <is>
          <t>Hogyan lehet egy zseblámpa egyszerre kompakt, sokoldalú és professzionális fényforrás kültéri és beltéri használatra?
A NEBO NEB-6746-G TAC SLYDE zseblámpa kiváló választás mindazoknak, akik egy megbízható, könnyen kezelhető, mégis masszív eszközt keresnek a mindennapi feladatokhoz vagy akár vészhelyzeti alkalmazásokhoz. Ez a zseblámpa és lámpás kombináció egyesíti a magas fényerőt, az ellenálló anyaghasználatot és a sokoldalú üzemmódokat, így minden helyzetben biztosítja a szükséges világítást.
Sokoldalú fényforrás bármilyen helyzethez
A TAC SLYDE modell 5 zseblámpa üzemmóddal rendelkezik, amelyek között a felhasználó könnyedén válthat:
- Nagy fényerő (300 lumen) – akár 135 méteres hatótáv, 2,5 órás működési idővel
- Közepes fényerő (150 lumen) – 6 óra világítás, 84 méteres fénytávolság
- Kis fényerő (30 lumen) – hosszú, akár 22 órás üzemidő
- Villogó mód (300 lumen) – 6 órányi figyelemfelkeltő fény
- S.O.S. funkció (300 lumen) – 48 órás vészjelzés egyetlen elemkészlettel
Emellett 3 külön lámpás üzemmód is rendelkezésre áll, amelyek ideálisak táborozáshoz, barkácsoláshoz vagy áramszünet esetén:
- Nagy fényerő (200 lumen) – 3 órás működés, 19 méteres hatótáv
- Kis fényerő (100 lumen) – 6 óra, 13 méteres fényerősség
- Villogó piros fény (20 lumen) – 8 órás vészjelzés, 6 méteres távolságban is jól látható
Masszív kialakítás extrém körülményekhez
A TAC SLYDE eloxált repülőgépipari minőségű alumíniumból készült, amely ütésálló és vízálló (IPX4), így ideális választás munkavégzéshez, túrázáshoz vagy sürgős helyzetekhez. A 12x állítható zoom lehetővé teszi a fény fókuszálását vagy szórását, így pontosan a kívánt területet világíthatja meg. A konvex lencse révén éles, jól koncentrált fényt biztosít.
Praktikus funkciók a kényelmes használatért
- Erős mágneses talp – könnyed rögzítés fémfelületeken, szabad kezet biztosít
- Kompakt méret (15,1 x Ø3,5 cm) – könnyen hordozható zsebben vagy szerszámos táskában
- Tápellátás: 3 db AAA elem (tartozék) – azonnal használatra kész, nincs szükség külön vásárlásra
Miért ajánlott a NEBO TAC SLYDE zseblámpa?
- Kombinált zseblámpa és lámpás funkció
- 8 különféle üzemmód, a helyzethez igazítható fényerővel
- Állítható zoom és konvex lencse a pontos világításért
- Ellenálló, vízálló alumínium test a hosszú élettartamért
- Könnyen kezelhető, elemmel működő megoldás a mindennapokra
Válassza a NEBO NEB-6746-G TAC SLYDE zseblámpát, ha olyan fényforrást keres, amely kis mérete ellenére nagy teljesítményre képes! Tökéletes társ munkához, túrázáshoz, horgászathoz vagy bármilyen szabadidős tevékenységhez – ahol fontos a megbízhatóság és a sokoldalúság.</t>
        </is>
      </c>
    </row>
    <row r="1129">
      <c r="A1129" s="3" t="inlineStr">
        <is>
          <t>NEB-FLT-1009-G</t>
        </is>
      </c>
      <c r="B1129" s="2" t="inlineStr">
        <is>
          <t>NEBO NEB-FLT-1009-G Master Series FL3000 zseblámpa, 3000 lm - 100 lm, 5 funkció, IP67, 3x zoom, mágneses</t>
        </is>
      </c>
      <c r="C1129" s="1" t="n">
        <v>29990.0</v>
      </c>
      <c r="D1129" s="7" t="n">
        <f>HYPERLINK("https://www.somogyi.hu/product/nebo-neb-flt-1009-g-master-series-fl3000-zseblampa-3000-lm-100-lm-5-funkcio-ip67-3x-zoom-magneses-neb-flt-1009-g-18043","https://www.somogyi.hu/product/nebo-neb-flt-1009-g-master-series-fl3000-zseblampa-3000-lm-100-lm-5-funkcio-ip67-3x-zoom-magneses-neb-flt-1009-g-18043")</f>
        <v>0.0</v>
      </c>
      <c r="E1129" s="7" t="n">
        <f>HYPERLINK("https://www.somogyi.hu/data/img/product_main_images/small/18043.jpg","https://www.somogyi.hu/data/img/product_main_images/small/18043.jpg")</f>
        <v>0.0</v>
      </c>
      <c r="F1129" s="2" t="inlineStr">
        <is>
          <t>5060945230059</t>
        </is>
      </c>
      <c r="G1129" s="4" t="inlineStr">
        <is>
          <t>Feltette már magának a kérdést, hogy milyen egy tökéletes zseblámpa? A válasz a NEBO MASTER SERIES FL3000!
Ez a masszív és megbízható 3000 lumenes lámpa mindent tud, amit elvárhat. Újratölthető akkumulátorral (18650) rendelkezik, a mágneses üzemmódválasztó tárcsával könnyedén váltogathat az üzemmódok között. 
Az intelligens teljesítményvezérlésnek köszönhetően mindig optimális fényerőn működik.
A NEBO FL3000 zseblámpa állítható 3x-os zoommal rendelkezik, így távoli célpontokra is könnyedén fókuszálhat. Vízálló (IP67) és ütésálló (2 méterig) kivitelezésének köszönhetően bármilyen körülmények között megbízhatóan működik. 
Az ergonomikus gumírozott markolat kényelmes fogást biztosít, és az erős mágneses talp segítségével könnyen rögzítheti fémtárgyakhoz.
A LED teljesítmény/töltésjelző mindig tájékoztatja Önt az akkumulátor állapotáról. Válasszon az 5 féle üzemmód közül, legyen szó a 3000 lumenes turbó fényről vagy a hosszabb üzemidőt biztosító alacsony fényről. 
Fedezze fel a világítás új szintjét a NEBO FL3000 zseblámpával! Tegye kosarába most, és ne hagyja, hogy a sötétség legyőzze!</t>
        </is>
      </c>
    </row>
    <row r="1130">
      <c r="A1130" s="3" t="inlineStr">
        <is>
          <t>NEB-BAT-0006-G</t>
        </is>
      </c>
      <c r="B1130" s="2" t="inlineStr">
        <is>
          <t>NEBO NEB-BAT-0006-G akkumulátor, 9000 mAh, 3,7 V, Li-ion</t>
        </is>
      </c>
      <c r="C1130" s="1" t="n">
        <v>11590.0</v>
      </c>
      <c r="D1130" s="7" t="n">
        <f>HYPERLINK("https://www.somogyi.hu/product/nebo-neb-bat-0006-g-akkumulator-9000-mah-3-7-v-li-ion-neb-bat-0006-g-19185","https://www.somogyi.hu/product/nebo-neb-bat-0006-g-akkumulator-9000-mah-3-7-v-li-ion-neb-bat-0006-g-19185")</f>
        <v>0.0</v>
      </c>
      <c r="E1130" s="7" t="n">
        <f>HYPERLINK("https://www.somogyi.hu/data/img/product_main_images/small/19185.jpg","https://www.somogyi.hu/data/img/product_main_images/small/19185.jpg")</f>
        <v>0.0</v>
      </c>
      <c r="F1130" s="2" t="inlineStr">
        <is>
          <t>5060945232107</t>
        </is>
      </c>
      <c r="G1130" s="4" t="inlineStr">
        <is>
          <t>Hogyan biztosíthatja eszközei számára a maximális teljesítményt és hosszú üzemidőt?
A NEBO NEB-BAT-0006-G Li-ion akkumulátor kiváló választás azok számára, akik nagy kapacitású, megbízható és hosszú élettartamú energiaforrást keresnek. Ez a 9000 mAh kapacitású, 3,7 V feszültségű lítium-ion akkumulátor kiemelkedő teljesítményt nyújt, miközben integrált biztonsági áramkörrel rendelkezik, amely megvédi a túltöltéstől és a teljes lemerüléstől.
Nagy teljesítményű energiaforrás NEBO termékekhez
A NEBO 2x21700 Li-ion akkumulátor kimagasló kapacitással rendelkezik, amely biztosítja a hosszan tartó energiát. Ez különösen fontos a nagy igénybevételű eszközök esetében, ahol a folyamatos és stabil működés elengedhetetlen. A 3,7 V feszültség lehetővé teszi, hogy az akkumulátor kompatibilis legyen az alábbi modellekkel:
- NEBO LUXTREME SL50
- NEBO LUXTREME SL75
- NEBO LUXTREME SL100
- NEBO MASTER SOROZAT SL25
Biztonságos és megbízható működés
A beépített túltöltés- és kisülésvédelem megakadályozza az akkumulátor károsodását, ezáltal növelve annak élettartamát és megbízhatóságát. Ez a védelem csökkenti a túlmelegedés, a kapacitásvesztés és az esetleges balesetek kockázatát, így nyugodtan használhatja eszközeiben.
Kompakt és strapabíró kialakítás
A 75 mm x 40 mm x 21 mm méretű akkumulátor kompakt és masszív kivitelének köszönhetően könnyen beilleszthető a kompatibilis eszközökbe. Ez a nagy kapacitású energiaforrás biztosítja, hogy hosszú távon megbízható teljesítményt nyújtson, még a legintenzívebb használat mellett is.
Miért érdemes a NEBO NEB-BAT-0006-G Li-ion akkumulátort választani?
- Nagy kapacitású, 9000 mAh-s Li-ion akkumulátor a hosszabb üzemidőért
- Integrált biztonsági védelem a túltöltés és kisülés ellen
- Speciálisan tervezve a LUXTREME és MASTER SOROZAT eszközökhöz
- Stabil, megbízható teljesítmény a folyamatos használathoz
- Kompakt, strapabíró kialakítás a könnyű beépítéshez
Ne hagyja, hogy eszközei lemerüljenek a legfontosabb pillanatokban! A NEBO NEB-BAT-0006-G Li-ion akkumulátor garantálja a hosszan tartó energiát, így Ön minden helyzetben maximális teljesítményt élvezhet!</t>
        </is>
      </c>
    </row>
    <row r="1131">
      <c r="A1131" s="3" t="inlineStr">
        <is>
          <t>NEB-BAT-0007-G</t>
        </is>
      </c>
      <c r="B1131" s="2" t="inlineStr">
        <is>
          <t>NEBO NEB-BAT-0007-G akkumulátor, 5000 mAh, 10,8 V, Li-ion</t>
        </is>
      </c>
      <c r="C1131" s="1" t="n">
        <v>16390.0</v>
      </c>
      <c r="D1131" s="7" t="n">
        <f>HYPERLINK("https://www.somogyi.hu/product/nebo-neb-bat-0007-g-akkumulator-5000-mah-10-8-v-li-ion-neb-bat-0007-g-19186","https://www.somogyi.hu/product/nebo-neb-bat-0007-g-akkumulator-5000-mah-10-8-v-li-ion-neb-bat-0007-g-19186")</f>
        <v>0.0</v>
      </c>
      <c r="E1131" s="7" t="n">
        <f>HYPERLINK("https://www.somogyi.hu/data/img/product_main_images/small/19186.jpg","https://www.somogyi.hu/data/img/product_main_images/small/19186.jpg")</f>
        <v>0.0</v>
      </c>
      <c r="F1131" s="2" t="inlineStr">
        <is>
          <t>5060945232114</t>
        </is>
      </c>
      <c r="G1131" s="4" t="inlineStr">
        <is>
          <t>Hogyan biztosíthatja eszközei számára a maximális teljesítményt és hosszú üzemidőt?
A NEBO NEB-BAT-0007-G Li-ion akkumulátor kifejezetten nagy teljesítményű eszközökhöz lett tervezve, hogy folyamatos és megbízható energiaellátást biztosítson. Ez a 9000 mAh kapacitású, 10,8V feszültségű lítium-ion akkumulátor a legnagyobb igénybevétel mellett is stabil teljesítményt nyújt, miközben integrált védelemmel rendelkezik a biztonságos működés érdekében.
Erőteljes energiaforrás extrém felhasználásra
A 3x26650 Li-ion akkumulátor kiemelkedő teljesítménye lehetővé teszi a hosszú üzemidőt és a megbízható működést még nagy energiaigényű eszközök esetében is. A 10,8V-os feszültség biztosítja az optimális teljesítményt, így ideális választás a nagy fényerejű LED-es elemlámpák számára.
Kompatibilitás és célzott használat
Ez az akkumulátor kifejezetten a NEBO NEB-FLT-1015-G Davinci 18000 elemlámpával kompatibilis, így garantáltan biztosítja a megfelelő teljesítményt és hosszú üzemidőt ezen eszköz számára. Egyéb készülékekkel való kompatibilitás nem garantált.
Biztonságos működés integrált védelemmel
A beépített túltöltés- és kisülésvédelmi áramkör megakadályozza az akkumulátor károsodását, hosszabb élettartamot biztosítva. Ez a védelem csökkenti a túlmelegedés és a teljesítménycsökkenés kockázatát, így az akkumulátor biztonságosan és megbízhatóan használható.
Kompakt és strapabíró kivitel
A 202,5 mm x 25,4 mm x 25,4 mm méretű akkumulátor masszív kialakítású, így ellenáll a mindennapi használat során fellépő igénybevételnek. Tartósságának és erős felépítésének köszönhetően hosszú távon biztosít stabil energiát.
Miért érdemes a NEBO NEB-BAT-0007-G Li-ion akkumulátort választani?
- Nagyteljesítményű 3x26650 Li-ion akkumulátor 9000 mAh kapacitással
- Speciálisan tervezve a NEBO NEB-FLT-1015-G Davinci 18000 elemlámpához
- Beépített túltöltés- és kisülésvédelem a maximális biztonság érdekében
- Masszív és kompakt kialakítás, amely hosszú távú használatra készült
- Stabil energiaellátás a nagy teljesítményű eszközök számára
Ne hagyja, hogy eszközei lemerüljenek a legfontosabb pillanatokban! A NEBO NEB-BAT-0007-G Li-ion akkumulátor garantálja a megbízható és hosszú távú energiaellátást, így Ön mindig a maximális teljesítményt élvezheti!</t>
        </is>
      </c>
    </row>
    <row r="1132">
      <c r="A1132" s="3" t="inlineStr">
        <is>
          <t>NEB-BAT-0009-G</t>
        </is>
      </c>
      <c r="B1132" s="2" t="inlineStr">
        <is>
          <t>NEBO NEB-BAT-0009-G akkumulátor, 5000 mAh, 7,4 V, 2db 26650, Li-on</t>
        </is>
      </c>
      <c r="C1132" s="1" t="n">
        <v>13190.0</v>
      </c>
      <c r="D1132" s="7" t="n">
        <f>HYPERLINK("https://www.somogyi.hu/product/nebo-neb-bat-0009-g-akkumulator-5000-mah-7-4-v-2db-26650-li-on-neb-bat-0009-g-19188","https://www.somogyi.hu/product/nebo-neb-bat-0009-g-akkumulator-5000-mah-7-4-v-2db-26650-li-on-neb-bat-0009-g-19188")</f>
        <v>0.0</v>
      </c>
      <c r="E1132" s="7" t="n">
        <f>HYPERLINK("https://www.somogyi.hu/data/img/product_main_images/small/19188.jpg","https://www.somogyi.hu/data/img/product_main_images/small/19188.jpg")</f>
        <v>0.0</v>
      </c>
      <c r="F1132" s="2" t="inlineStr">
        <is>
          <t>5060945232138</t>
        </is>
      </c>
      <c r="G1132" s="4" t="inlineStr">
        <is>
          <t>Hogyan biztosíthatja eszközei számára a folyamatos és megbízható energiaellátást?
A NEBO NEB-BAT-0009-G Li-ion akkumulátor kimagasló teljesítményével garantálja a hosszú üzemidőt és a stabil működést. Ez a 5000 mAh kapacitású, 7,4 V feszültségű újratölthető lítium-ion akkumulátor kifejezetten a nagy energiaigényű eszközökhöz készült, így megbízható megoldást nyújt mindennapi és professzionális használatra egyaránt.
Nagy teljesítmény és hosszú üzemidő
A 2x26650-es Li-ion akkumulátor kifejezetten nagy teljesítményű eszközök számára készült, így biztosítja a folyamatos és megbízható működést. 5000 mAh kapacitásának köszönhetően hosszabb ideig üzemeltetheti eszközeit anélkül, hogy aggódnia kellene a gyors lemerülés miatt. A 7,4 V feszültség stabil energiaellátást biztosít, amely garantálja a kompatibilis készülékek hatékony működését.
Kompatibilitás és célzott felhasználás
Ez az akkumulátor kizárólag a következő NEBO modellekkel kompatibilis, így biztosítja a megfelelő teljesítményt és zavartalan működést:
- NEBO 12K
- NEBO Davinci 12000 Mag Dial
Más eszközökkel való használata nem ajánlott, mivel az akkumulátor kifejezetten ezekhez a modellekhez lett optimalizálva.
Beépített védelem a biztonságos használatért
A túltöltés- és kisülésvédelemmel ellátott áramkör garantálja az akkumulátor hosszabb élettartamát, miközben csökkenti a túlmelegedés és a teljesítménycsökkenés kockázatát. Ez a fejlett védelem biztosítja, hogy az akkumulátor megbízhatóan és biztonságosan működjön minden használati környezetben.
Masszív és kompakt kialakítás
A 135 mm x 254 mm x 254 mm méretű akkumulátor erős, strapabíró kialakítású, amely ellenáll a mindennapi használat során fellépő igénybevételnek. Kompakt mérete lehetővé teszi az egyszerű beillesztést és kényelmes tárolást, így mindig készen áll a használatra.
Miért érdemes a NEBO NEB-BAT-0009-G Li-ion akkumulátort választani?
- 5000 mAh kapacitás a hosszú üzemidőért
- 7,4 V feszültség, amely biztosítja a stabil teljesítményt
- Beépített túltöltés- és kisülésvédelem a megbízható működés érdekében
- Kifejezetten a NEBO 12K és Davinci 12000 Mag Dial modellekhez tervezve
- Masszív, strapabíró kialakítás a hosszú távú használathoz
Ne hagyja, hogy az energiahiány akadályozza a munkáját vagy szabadidős tevékenységeit! A NEBO NEB-BAT-0009-G Li-ion akkumulátor garantálja a folyamatos teljesítményt, így Ön mindig a maximumot hozhatja ki eszközeiből!</t>
        </is>
      </c>
    </row>
    <row r="1133">
      <c r="A1133" s="3" t="inlineStr">
        <is>
          <t>NEB-BAT-0010-G</t>
        </is>
      </c>
      <c r="B1133" s="2" t="inlineStr">
        <is>
          <t>NEBO NEB-BAT-0010-G akkumulátor, 4000 mAh, 3,7 V, 21700, Li-on</t>
        </is>
      </c>
      <c r="C1133" s="1" t="n">
        <v>8190.0</v>
      </c>
      <c r="D1133" s="7" t="n">
        <f>HYPERLINK("https://www.somogyi.hu/product/nebo-neb-bat-0010-g-akkumulator-4000-mah-3-7-v-21700-li-on-neb-bat-0010-g-19189","https://www.somogyi.hu/product/nebo-neb-bat-0010-g-akkumulator-4000-mah-3-7-v-21700-li-on-neb-bat-0010-g-19189")</f>
        <v>0.0</v>
      </c>
      <c r="E1133" s="7" t="n">
        <f>HYPERLINK("https://www.somogyi.hu/data/img/product_main_images/small/19189.jpg","https://www.somogyi.hu/data/img/product_main_images/small/19189.jpg")</f>
        <v>0.0</v>
      </c>
      <c r="F1133" s="2" t="inlineStr">
        <is>
          <t>5060945232145</t>
        </is>
      </c>
      <c r="G1133" s="4" t="inlineStr">
        <is>
          <t>Hogyan biztosíthatja zseblámpája számára a maximális teljesítményt és hosszú üzemidőt?
A NEBO NEB-BAT-0010-G Li-ion 21700 akkumulátor kiváló választás, ha egy erőteljes és megbízható energiaforrást keres nagy teljesítményű zseblámpákhoz. 4000 mAh kapacitásának és 3,7 V feszültségének köszönhetően hosszabb üzemidőt és stabil teljesítményt biztosít, így eszköze mindig készen áll a használatra.
Erőteljes energiaellátás professzionális eszközökhöz
A 21700-as Li-ion akkumulátor nagyobb kapacitással rendelkezik, mint a hagyományos 18650-es modellek, így képes hosszabb ideig fenntartani a nagy energiaigényű eszközök működését. Integrált túltöltés- és kisülésvédelemmel ellátott áramköre gondoskodik arról, hogy az akkumulátor biztonságosan használható legyen, miközben meghosszabbítja az élettartamát.
USB-C töltési lehetőség a maximális kényelemért
A beépített USB-C töltőport lehetővé teszi a gyors és kényelmes töltést, így nincs szükség külön töltőállomásra. A csomag tartalmazza az USB-C kábelt, amely biztosítja, hogy az akkumulátor azonnal használatra kész legyen.
Kompatibilitás a legnépszerűbb NEBO modellekkel
Ez az akkumulátor kifejezetten a következő NEBO zseblámpákhoz lett tervezve, biztosítva az optimális teljesítményt és hosszú üzemidőt:
- NEBO LUXTREME zseblámpa
- NEBO LUXTREME MZ60 Blue Line zseblámpa
- NEBO MASTER SERIES FL3000 zseblámpa
- NEBO ILLUMATRACE BLOOD TRACKER Flashlight zseblámpa
Más eszközökben való használata nem ajánlott, mivel kizárólag ezekkel a modellekkel kompatibilis.
Kompakt és strapabíró kialakítás
A 77 mm x 21,6 mm x 21,6 mm méretű akkumulátor masszív és könnyen illeszkedik a kompatibilis eszközökbe. Kis mérete ellenére rendkívül hatékony, így hosszabb üzemidőt és megbízható teljesítményt biztosít.
Miért érdemes a NEBO NEB-BAT-0010-G Li-ion akkumulátort választani?
- 4000 mAh kapacitás a hosszabb üzemidő érdekében
- Beépített USB-C töltőport a gyors és kényelmes töltésért
- Túltöltés- és kisülésvédelem a biztonságos használathoz
- Speciálisan tervezve NEBO zseblámpákhoz a maximális kompatibilitás érdekében
- Kompakt és strapabíró kialakítás, amely hosszú távú használatra készült
Ne hagyja, hogy zseblámpája lemerüljön a legfontosabb pillanatokban! A NEBO NEB-BAT-0010-G Li-ion akkumulátor biztosítja a folyamatos energiát, így Ön mindig maximális teljesítménnyel dolgozhat!</t>
        </is>
      </c>
    </row>
    <row r="1134">
      <c r="A1134" s="3" t="inlineStr">
        <is>
          <t>NEB-HLP-0021-G</t>
        </is>
      </c>
      <c r="B1134" s="2" t="inlineStr">
        <is>
          <t>NEBO NEB-HLP-0021-G CURVBEAM 600 FLEX fejlámpa, 600 lumen, 1100mAh, COB LED, IPX4, 180°-os világítás</t>
        </is>
      </c>
      <c r="C1134" s="1" t="n">
        <v>16390.0</v>
      </c>
      <c r="D1134" s="7" t="n">
        <f>HYPERLINK("https://www.somogyi.hu/product/nebo-neb-hlp-0021-g-curvbeam-600-flex-fejlampa-600-lumen-1100mah-cob-led-ipx4-180-os-vilagitas-neb-hlp-0021-g-19285","https://www.somogyi.hu/product/nebo-neb-hlp-0021-g-curvbeam-600-flex-fejlampa-600-lumen-1100mah-cob-led-ipx4-180-os-vilagitas-neb-hlp-0021-g-19285")</f>
        <v>0.0</v>
      </c>
      <c r="E1134" s="7" t="n">
        <f>HYPERLINK("https://www.somogyi.hu/data/img/product_main_images/small/19285.jpg","https://www.somogyi.hu/data/img/product_main_images/small/19285.jpg")</f>
        <v>0.0</v>
      </c>
      <c r="F1134" s="2" t="inlineStr">
        <is>
          <t>5060945231926</t>
        </is>
      </c>
      <c r="G1134" s="4" t="inlineStr">
        <is>
          <t>Hogyan biztosíthat hatékony, széles körű megvilágítást mindkét keze szabadságának megtartása mellett? 
A NEBO NEB-HLP-0021-G CURVBEAM 600 FLEX fejlámpa tökéletes megoldást kínál mindazok számára, akiknek megbízható, erős fényforrásra van szükségük munka, túrázás, sport vagy otthoni feladatok során. A 600 lumenes fényerő, a széles látószögű COB LED világítás és az ergonomikus kialakítás együttese olyan fejlámpát eredményez, amely egyszerre kényelmes, sokoldalú és kimagasló teljesítményt nyújt.
Erőteljes fényerő és széles látószögű világítás
A CURVBEAM 600 FLEX fejlámpa kombinálja a fókuszált spotlámpa és a 180°-os COB LED világítás előnyeit. A spotlámpa 500 lumenes fényereje 96 méteres hatótávval bír, míg a COB LED akár 300 lumenes, nagy látószögű fényt biztosít, amely ideális a közvetlen környezet bevilágításához. Együttes használatukkal a lámpa akár 600 lumen teljes fényerőre is képes, így kiválóan alkalmas bármilyen szituációban – legyen szó műhelymunkáról, esti sporttevékenységről vagy kempingezésről.
Rugalmas tápellátás és intelligens vezérlés
A fejlámpa beépített, USB-C csatlakozón keresztül tölthető Li-ion akkumulátorral (1100 mAh) rendelkezik, de az egyedülálló Flex Power technológiának köszönhetően 3 db AAA elemmel is működtethető. Ez különösen praktikus, ha nincs lehetőség tölteni a lámpát – a rugalmasság mindig kéznél van. A Smart Power Control™ rendszer automatikusan optimalizálja a fénykibocsátást az akkumulátor töltöttségi szintje szerint, míg a Direct-to-Low™ funkció lehetővé teszi az azonnali, alacsony fényerejű indulást – ideális, ha nem szeretne elvakítani másokat sötét környezetben.
Könnyű, kényelmes és strapabíró kialakítás
A BackBalance Fit™ technológiával ellátott fejpánt a súlyt egyenletesen osztja el a fej hátsó részén, így hosszú viselés során sem válik kényelmetlenné. Az állítható, fényvisszaverő pánt biztonságos és stabil illeszkedést nyújt, még intenzív mozgás közben is. A lámpa alumínium, TPR és ABS polimer háza nemcsak tartós, de IPX4 szabvány szerinti víz- és ütésálló, vagyis ellenáll az esőnek, fröccsenő víznek és kisebb ütődéseknek is.
Üzemmódok és működési idők
- Spotlámpa nagy fényerő (500 lm) – 1 óra 30 perc / 96 m
- Spotlámpa közepes fényerő (150 lm) – 5 óra 30 perc / 53 m
- Spotlámpa kis fényerő (30 lm) – 10 óra / 23 m
- 180° COB nagy fényerő (300 lm) – 2 óra / 18 m
- 180° COB kis fényerő (100 lm) – 4 óra / 11 m
- 180° COB + Spotlámpa (600 lm) – 1 óra 30 perc / 85 m
Miért érdemes a NEBO CURVBEAM 600 FLEX fejlámpát választani?
- 600 lumen kombinált fényerő, fókuszált és széles világítási lehetőséggel
- Smart Power Control™ és Direct-to-Low™ technológia
- USB-C tölthető vagy elemes üzemeltetés – maximális rugalmasság
- Víz- és ütésálló (IPX4) kivitel, kültéri használatra is
- Kényelmes, fényvisszaverő, állítható fejpánt, hátul elhelyezett akkumulátorral
- 20°-ban dönthető spotlámpa, igény szerinti irányítással
Ne hagyja, hogy a sötétség korlátozza lehetőségeit! Válassza a NEBO CURVBEAM 600 FLEX fejlámpát, és élvezze a teljes szabadságot, kiváló láthatóság mellett – akár munkáról, akár kalandról van szó!</t>
        </is>
      </c>
    </row>
    <row r="1135">
      <c r="A1135" s="3" t="inlineStr">
        <is>
          <t>NEB-0031-G</t>
        </is>
      </c>
      <c r="B1135" s="2" t="inlineStr">
        <is>
          <t>NEBO NEB-0031-G SLYDE KING 4K zseblámpa, 4000 lumen, 2600mAh, alumínium burkolat, IPX7, zoom, 2 funkciós</t>
        </is>
      </c>
      <c r="C1135" s="1" t="n">
        <v>28690.0</v>
      </c>
      <c r="D1135" s="7" t="n">
        <f>HYPERLINK("https://www.somogyi.hu/product/nebo-neb-0031-g-slyde-king-4k-zseblampa-4000-lumen-2600mah-aluminium-burkolat-ipx7-zoom-2-funkcios-neb-0031-g-19287","https://www.somogyi.hu/product/nebo-neb-0031-g-slyde-king-4k-zseblampa-4000-lumen-2600mah-aluminium-burkolat-ipx7-zoom-2-funkcios-neb-0031-g-19287")</f>
        <v>0.0</v>
      </c>
      <c r="E1135" s="7" t="n">
        <f>HYPERLINK("https://www.somogyi.hu/data/img/product_main_images/small/19287.jpg","https://www.somogyi.hu/data/img/product_main_images/small/19287.jpg")</f>
        <v>0.0</v>
      </c>
      <c r="F1135" s="2" t="inlineStr">
        <is>
          <t>5060945232046</t>
        </is>
      </c>
      <c r="G1135" s="4" t="inlineStr">
        <is>
          <t>Hogyan biztosíthatja a maximális fényerőt és sokoldalúságot egyetlen, strapabíró zseblámpával?
A NEBO SLYDE KING 4K (NEB-0031-G) egy prémium minőségű, professzionális zseblámpa, amely 4000 lumenes fényerővel és lenyűgöző funkcionalitással emelkedik ki a piacon elérhető eszközök közül. Ez az újratölthető, USB-C csatlakozással rendelkező lámpa nem csupán zseblámpaként, hanem 1000 lumenes szerelőlámpaként is használható, így bármilyen helyzetben megbízható társ.
Kiemelkedő fényerő és állítható működés
A 4000 lumenes zseblámpa üzemmód akár 350 méteres hatótávolságot is biztosít, míg a kisebb, 400 lumenes üzemmódban akár 6 órányi folyamatos világítás érhető el. A szerelőlámpa funkció szintén két fokozatban működik: nagy fényerőn (1000 lumen) 4 órán keresztül, míg kis fényerőn (100 lumen) akár 24 órán át világít.
Külön figyelmet érdemel a piros fény mód, amely éjszakai munkavégzésnél vagy vészhelyzetben is hasznos:
– Nagy fényerő (40 lumen): 6 óra / 9 méter
– Kis fényerő (4 lumen): 35 óra / 3 méter
– Villogó mód: 12 óra / 9 méter
Erős, vízálló kialakítás extrém körülményekhez
A gumírozott markolat és az eloxált repülőipari alumínium burkolat nem csupán masszív megjelenést, hanem ütésálló és vízálló (IPX7) védelmet is nyújt, így a NEBO zseblámpa minden időjárási körülményhez és munkakörnyezethez alkalmazkodik. Az erős mágneses talp biztosítja a rögzíthetőséget fémfelületeken, így mindkét keze szabad maradhat munka közben.
Praktikus funkciók a mindennapi kényelemért
- 4x állítható zoom a pontos fényirányításért
- Power Memory funkció, amely megjegyzi az utolsó használt fényerőt
- Direct-to-Red mód, amely azonnal aktiválja a piros fényt
- Alacsony akkumulátor szint kijelző, hogy mindig felkészülten induljon útnak
- Újratölthető 2600 mAh-s Li-ion akkumulátor, 3,7V feszültséggel
Miért érdemes a NEBO SLYDE KING 4K zseblámpát választani?
- 4000 lumenes fényerő – extrém megvilágításhoz
- Több funkció egy eszközben – zseblámpa, szerelőlámpa és vészjelző fény
- Erős és vízálló kivitel – bárhol, bármikor megbízható
- Mágneses rögzítés, zoom és memóriamód – a profi használathoz
Legyen Öné ez a minden igényt kielégítő multifunkciós lámpa – válassza a NEBO SLYDE KING 4K modellt, és világítson be minden helyzetet megbízható fényerővel és stílussal!</t>
        </is>
      </c>
    </row>
    <row r="1136">
      <c r="A1136" s="3" t="inlineStr">
        <is>
          <t>NEB-FLT-1042-G</t>
        </is>
      </c>
      <c r="B1136" s="2" t="inlineStr">
        <is>
          <t>NEBO NEB-FLT-1042-G SLIM MINI zseblámpa, 250 lumen, 450mAh, IPX4, alumínium burkolat, mágneses talp</t>
        </is>
      </c>
      <c r="C1136" s="1" t="n">
        <v>10290.0</v>
      </c>
      <c r="D1136" s="7" t="n">
        <f>HYPERLINK("https://www.somogyi.hu/product/nebo-neb-flt-1042-g-slim-mini-zseblampa-250-lumen-450mah-ipx4-aluminium-burkolat-magneses-talp-neb-flt-1042-g-19289","https://www.somogyi.hu/product/nebo-neb-flt-1042-g-slim-mini-zseblampa-250-lumen-450mah-ipx4-aluminium-burkolat-magneses-talp-neb-flt-1042-g-19289")</f>
        <v>0.0</v>
      </c>
      <c r="E1136" s="7" t="n">
        <f>HYPERLINK("https://www.somogyi.hu/data/img/product_main_images/small/19289.jpg","https://www.somogyi.hu/data/img/product_main_images/small/19289.jpg")</f>
        <v>0.0</v>
      </c>
      <c r="F1136" s="2" t="inlineStr">
        <is>
          <t>5060945231247</t>
        </is>
      </c>
      <c r="G1136" s="4" t="inlineStr">
        <is>
          <t>Hogyan biztosíthat magának megbízható, praktikus fényforrást anélkül, hogy nagy, nehéz lámpát kellene magával hordania?
A NEBO NEB-FLT-1042-G SLIM MINI zseblámpa kompakt méretével, mégis lenyűgöző teljesítményével ideális választás mindazok számára, akiknek fontos a mobilitás, az energiatakarékosság és a hosszú élettartam. Ez az akkumulátoros fényforrás nemcsak stílusos és tartós, hanem rendkívül sokoldalú eszköz is a hétköznapi vagy professzionális felhasználásra.
Erős teljesítmény meglepően kis méretben
A SLIM MINI modell 250 lumen fényerővel működik, amely meglepően erőteljes világítást nyújt egy ilyen kompakt eszköztől. A nagy fényerő üzemmódban akár 2 órán keresztül képes világítani, és 67 méteres távolságot bevilágítani. Ha alacsonyabb fényerő is elegendő, a 25 lumenes mód akár 10 órányi működést biztosít – tökéletes kempingezéshez, sétához vagy éjszakai javítási munkákhoz.
Tartósság és strapabírás minden körülmény között
A zseblámpa eloxált repülőipari minőségű alumíniumból készült, így nemcsak rendkívül könnyű, de ütés- és vízálló is (IPX4). Ez a kialakítás lehetővé teszi a biztonságos használatot akár esős, poros vagy extrém környezetben is. A beépített mágneses talp és a strapabíró övcsipesz gondoskodik a kényelmes és rugalmas rögzítésről – szerszámövön, fémfelületen vagy zsebben is mindig kéznél tartható.
Újratölthető akkumulátor – környezetbarát megoldás
A SLIM MINI zseblámpa beépített Li-ion akkumulátorral (3,7 V, 450 mAh) működik, amely USB-C csatlakozón keresztül tölthető. A csomag tartalmaz egy USB-C – USB-A töltőkábelt, így nincs szükség elemre, és bármikor könnyedén feltölthető akár számítógépről, power bankról vagy hálózati adapterről. Ez a modern megoldás nemcsak kényelmes, hanem gazdaságos és környezetkímélő is.
Miért ajánlott a NEBO SLIM MINI zseblámpa?
- Kompakt és pehelykönnyű kivitel – mindössze 10,3 x 2,5 x 1,5 cm
- 250 lumen fényerő a meglepően erőteljes világításért
- 2 fényerő üzemmód, a helyzethez igazítható teljesítménnyel
- USB-C újratölthető akkumulátor – energiatakarékos és környezettudatos
- IPX4 vízállóság, ütésálló ház és mágneses talp a maximális sokoldalúságért
- Strapabíró övcsipesz a praktikus hordozhatóságért
Ne hagyja, hogy a sötétség korlátozza a mozgásterét! Válassza a NEBO NEB-FLT-1042-G SLIM MINI zseblámpát, és élvezze a megbízható, hordozható világítást minden helyzetben – akár otthon, útközben vagy a munkahelyen is!</t>
        </is>
      </c>
    </row>
    <row r="1137">
      <c r="A1137" s="3" t="inlineStr">
        <is>
          <t>NEB-7007-G</t>
        </is>
      </c>
      <c r="B1137" s="2" t="inlineStr">
        <is>
          <t>NEBO NEB-7007-G Angle Light, 220 lm, mágneses, akasztható, forgatható fejű lámpa</t>
        </is>
      </c>
      <c r="C1137" s="1" t="n">
        <v>3990.0</v>
      </c>
      <c r="D1137" s="7" t="n">
        <f>HYPERLINK("https://www.somogyi.hu/product/nebo-neb-7007-g-angle-light-220-lm-magneses-akaszthato-forgathato-feju-lampa-neb-7007-g-17821","https://www.somogyi.hu/product/nebo-neb-7007-g-angle-light-220-lm-magneses-akaszthato-forgathato-feju-lampa-neb-7007-g-17821")</f>
        <v>0.0</v>
      </c>
      <c r="E1137" s="7" t="n">
        <f>HYPERLINK("https://www.somogyi.hu/data/img/product_main_images/small/17821.jpg","https://www.somogyi.hu/data/img/product_main_images/small/17821.jpg")</f>
        <v>0.0</v>
      </c>
      <c r="F1137" s="2" t="inlineStr">
        <is>
          <t>5060063228877</t>
        </is>
      </c>
      <c r="G1137" s="4" t="inlineStr">
        <is>
          <t>Egy olyan univerzálisan használható világítási megoldást keres, ami tökéletes társ a munkában és a szabadidőben egyaránt? 
A NEBO ANGLE LIGHT munka- és hobbylámpa erre az igényre ad választ. 
A termék műanyag borítása és IPX4 besorolása gondoskodik a vízálló kialakításról, így az eső és a fröccsenő víz sem okoz problémát.
Az erős mágneses talp és az akasztó révén a lámpa könnyedén rögzíthető fémfelületekre vagy akár ágakra, szögekre is. A lámpa feje 180 fokban fordítható, tehát a fényirány könnyen szabályozható a feladat igényeihez mérten. 
Egyetlen üzemmódban 220 lumen fényáramot biztosít, amely optimális a legtöbb háztartási és ipari alkalmazás számára. 
Mindezt kompakt méretben, a lámpa csupán 8,5 x 8 x 3,8 cm. 
Tápellátásáról 3 x AAA alkáli elem gondoskodik, melyet a csomagolásban megtalál.
Ne hagyja ki a lehetőséget, és szerezze be a NEBO ANGLE LIGHT-ot most, hogy mindig kéznél legyen egy megbízható és sokoldalú világítási eszköz!</t>
        </is>
      </c>
    </row>
    <row r="1138">
      <c r="A1138" s="3" t="inlineStr">
        <is>
          <t>NEB-WLT-1008-G</t>
        </is>
      </c>
      <c r="B1138" s="2" t="inlineStr">
        <is>
          <t>NEBO NEB-WLT-1008-G OMNI 3K szerelőlámpa, 3000-7 lumen, újratölthető, power bank funkció, IPX4</t>
        </is>
      </c>
      <c r="C1138" s="1" t="n">
        <v>26890.0</v>
      </c>
      <c r="D1138" s="7" t="n">
        <f>HYPERLINK("https://www.somogyi.hu/product/nebo-neb-wlt-1008-g-omni-3k-szerelolampa-3000-7-lumen-ujratoltheto-power-bank-funkcio-ipx4-neb-wlt-1008-g-18389","https://www.somogyi.hu/product/nebo-neb-wlt-1008-g-omni-3k-szerelolampa-3000-7-lumen-ujratoltheto-power-bank-funkcio-ipx4-neb-wlt-1008-g-18389")</f>
        <v>0.0</v>
      </c>
      <c r="E1138" s="7" t="n">
        <f>HYPERLINK("https://www.somogyi.hu/data/img/product_main_images/small/18389.jpg","https://www.somogyi.hu/data/img/product_main_images/small/18389.jpg")</f>
        <v>0.0</v>
      </c>
      <c r="F1138" s="2" t="inlineStr">
        <is>
          <t>5060063229744</t>
        </is>
      </c>
      <c r="G1138" s="4" t="inlineStr">
        <is>
          <t>Milyen lámpa biztosíthatja a maximális megvilágítást bármilyen helyzetben, miközben még eszközeit is töltheti?
A NEBO NEB-WLT-1008-G OMNI 3K szerelőlámpa az egyik legnagyobb teljesítményű, multifunkciós lámpa, amelyet bármilyen beltéri vagy kültéri tevékenységhez használhat. A 3000 lumenes maximális fényerővel és az egyedülálló minden irányba állítható COB panelekkel minden munkaterületet tökéletesen megvilágíthat, míg a beépített power bank funkció lehetővé teszi, hogy szükség esetén eszközeit is feltöltse.
Kiemelkedő teljesítmény és sokoldalúság
Ez a szerelőlámpa öt különböző üzemmódban használható, így minden helyzethez igazítható:
* Mindkét COB panel (3000 lumen): Erőteljes megvilágítást biztosít, amely 1 órán át működik, akár 70 méteres távolságig.
* Mindkét COB panel (300 lumen): 4 órás üzemidővel ideális hosszabb használathoz, 22 méteres hatótávolsággal.
* Egy COB panel (1500 lumen): Közepes fényerő mellett 2 órán át használható, 50 méteres megvilágítást nyújtva.
* Egy COB panel (150 lumen): Hosszú üzemidőt biztosít, akár 8 órán át, 18 méteres hatótávolsággal.
* Piros COB fény (7 lumen): Ideális jelzésként vagy sötét környezetben figyelemfelkeltésre, akár 11 órán átműködik, 8 méteres hatótávolsággal.
* Piros COB stroboszkóp (20 lumen): Vészhelyzeti figyelmeztetésre vagy jelzésre használható, 20 órás üzemidővel.
Strapabíró kialakítás minden körülményhez
A lámpa teste eloxált alumíniumból készült, amely kiemelkedő tartósságot és hosszú élettartamot garantál. A csúszásgátló gumibevonat és az IPX4 vízállósági minősítés biztosítja, hogy a lámpa nedves, esős körülmények között is megbízhatóan működjön. Az ütésálló kivitel révén extrém helyzetekben is kiválóan helytáll.
Forgatható és mágneses fogantyú
Az egyedi kialakítású forgatható fogantyú nemcsak kényelmes hordozást tesz lehetővé, hanem a lámpa helyzetének precíz beállítását is, hogy mindig a megfelelő irányba világítson. Az erős mágneses talp segítségével biztonságosan rögzíthető fémfelületekre, így mindkét keze szabadon maradhat a munkához.
Beépített power bank funkció
Az 1x 21700 Li-ion akkumulátor kapacitása 4000 mAh, amely nemcsak hosszú üzemidőt biztosít, hanem lehetővé teszi más eszközök töltését is a beépített USB-C porton keresztül. Az akkumulátor töltöttségi szintjét jelző LED-ek segítenek a pontos állapot ellenőrzésében, így soha nem marad áram nélkül.
Kompakt méret és egyszerű használat
A hátsó Be/Ki gomb és a fényerő állító gombok segítségével könnyedén vezérelheti az üzemmódokat. Az összehajtott mérete mindössze 12,7 x 4,98 x 13,66 cm, így könnyen tárolható és szállítható, akár a szerszámosládájában, akár a hátizsákjában.
Miért válassza a NEBO OMNI 3K szerelőlámpát?
– 3000 lumenes maximális fényerő, amely minden munkaterületet kiválóan megvilágít 
– Több üzemmód, hogy mindig az adott helyzethez igazíthassa a fényerőt 
– Beépített power bank, amely lehetővé teszi eszközei töltését 
– Forgatható mágneses fogantyú, amely maximális rugalmasságot biztosít 
– Strapabíró, víz- és ütésálló kialakítás, amely extrém körülmények között is megállja a helyét 
– Kompakt méret, így bárhová magával viheti
Legyen szó barkácsolásról, műhelymunkáról vagy szabadtéri tevékenységekről, a NEBO NEB-WLT-1008-G OMNI 3K szerelőlámpa mindig készen áll, hogy a legjobb fényforrást nyújtsa. Tartsa kéznél ezt a kivételes lámpát, és győződjön meg róla, hogy soha nem kell sötétben dolgoznia!</t>
        </is>
      </c>
    </row>
    <row r="1139">
      <c r="A1139" s="3" t="inlineStr">
        <is>
          <t>NEB-FLT-0018-G</t>
        </is>
      </c>
      <c r="B1139" s="2" t="inlineStr">
        <is>
          <t>NEBO NEB-FLT-0018-G Davinci 1000 zseblámpa, 1000 lm - 100 lm, 4 funkció, IP67, 6x zoom, PowerBank funkció, 2000 mAh</t>
        </is>
      </c>
      <c r="C1139" s="1" t="n">
        <v>18590.0</v>
      </c>
      <c r="D1139" s="7" t="n">
        <f>HYPERLINK("https://www.somogyi.hu/product/nebo-neb-flt-0018-g-davinci-1000-zseblampa-1000-lm-100-lm-4-funkcio-ip67-6x-zoom-powerbank-funkcio-2000-mah-neb-flt-0018-g-17391","https://www.somogyi.hu/product/nebo-neb-flt-0018-g-davinci-1000-zseblampa-1000-lm-100-lm-4-funkcio-ip67-6x-zoom-powerbank-funkcio-2000-mah-neb-flt-0018-g-17391")</f>
        <v>0.0</v>
      </c>
      <c r="E1139" s="7" t="n">
        <f>HYPERLINK("https://www.somogyi.hu/data/img/product_main_images/small/17391.jpg","https://www.somogyi.hu/data/img/product_main_images/small/17391.jpg")</f>
        <v>0.0</v>
      </c>
      <c r="F1139" s="2" t="inlineStr">
        <is>
          <t>5060063228419</t>
        </is>
      </c>
      <c r="G1139" s="4" t="inlineStr">
        <is>
          <t>Vajon hogyan világít 1000 lumen fényerő? A NEBO DAVINCI 1000 zseblámpa minden kérdésére választ ad!
Ez a kiváló minőségű zseblámpa ideális partner minden kalandhoz. Az eloxált, repülőipari minőségű alumínium háza véd a víz és por ellen (IP67 minősítésű), így szinte bármilyen időjárási körülmények között használhatja
Az üzemmódválasztó tárcsa segítségével egyszerűen változtathatja a fényerőt nagy (1000 lm), közepes (400 lm) és kis (100 lm) fényerők között, illetve bekapcsolhatja a villogó üzemmódot is. A 6x-os zoom lehetővé teszi, hogy a fényt pontosan oda tudja irányítani,  ahová szükséges. 
A DAVINCI 1000 zseblámpa beépített 2000 mAh akkumulátorral rendelkezik. Kompakt méretének köszönhetően könnyen magával viheti.
Ne hagyja, hogy a sötétség vagy az időjárás megakadályozza valamiben! Szerezze be most a NEBO DAVINCI 1000 zseblámpát, és legyen felkészülve minden helyzetre!</t>
        </is>
      </c>
    </row>
    <row r="1140">
      <c r="A1140" s="3" t="inlineStr">
        <is>
          <t>NE6665</t>
        </is>
      </c>
      <c r="B1140" s="2" t="inlineStr">
        <is>
          <t>NEBO TANGO NE6665 spotlámpa, 750 lm - 250 lm, USB PowerBank, víz- és ütésálló, forgatható alap, MicroUSB, 3 fokozat, fényerő memória</t>
        </is>
      </c>
      <c r="C1140" s="1" t="n">
        <v>11690.0</v>
      </c>
      <c r="D1140" s="7" t="n">
        <f>HYPERLINK("https://www.somogyi.hu/product/nebo-tango-ne6665-spotlampa-750-lm-250-lm-usb-powerbank-viz-es-utesallo-forgathato-alap-microusb-3-fokozat-fenyero-memoria-ne6665-18688","https://www.somogyi.hu/product/nebo-tango-ne6665-spotlampa-750-lm-250-lm-usb-powerbank-viz-es-utesallo-forgathato-alap-microusb-3-fokozat-fenyero-memoria-ne6665-18688")</f>
        <v>0.0</v>
      </c>
      <c r="E1140" s="7" t="n">
        <f>HYPERLINK("https://www.somogyi.hu/data/img/product_main_images/small/18688.jpg","https://www.somogyi.hu/data/img/product_main_images/small/18688.jpg")</f>
        <v>0.0</v>
      </c>
      <c r="F1140" s="2" t="inlineStr">
        <is>
          <t>5060063225708</t>
        </is>
      </c>
      <c r="G1140" s="4" t="inlineStr">
        <is>
          <t>Keres egy lenyűgöző tulajdonságokkal rendelkező spotlámpát? A NEBO TANGO, NE6665 spotlámpa egy újratölthető, sokoldalú eszköz, amely két nagy teljesítményű fényforrással rendelkezik: egy 250 lumenes spotlámpával és egy 750 lumenes C•O•B szerelőlámpával. Tökéletes választás mindenki számára, aki erős és megbízható fényforrást keres bármilyen helyzetben.
A beépített power bank funkcióval a NEBO TANGO nem csak világít, hanem lehetőséget ad mobil eszközei töltésére is, így sosem marad energia nélkül. A csúszásmentes gumibevonatnak köszönhetően biztos fogást nyújt, míg a víz- és ütésálló kialakításnak hála minden környezetben megállja a helyét.
Az állítható fényerő és a fényerő memória funkció lehetővé teszi, hogy mindig a kívánt fényerősséget használhassa, a 180°-ban elforgatható alap pedig garantálja, hogy bárhova is irányítja a fényt, pontosan oda világít, ahová szüksége van rá. A mellékelt MicroUSB - USB kábel és AC adapter segítségével könnyedén újratöltheti, így mindig készen áll a használatra.
A NEBO TANGO spotlámpa szerelőlámpa üzemmódja 750 lumenes fényerővel 2 órán át világít, míg a szpotlámpa üzemmód 250 lumenes fényerővel akár 5 órán keresztül biztosít fényt, a turbó üzemmód pedig 1000 lumennel rövid ideig, de elképesztő fényerővel világít.
Válassza a NEBO TANGO spotlámpát, és élvezze a kiváló minőségű, megbízható világítást, ahol csak szüksége van rá – legyen az otthoni barkácsolás, kempingezés vagy bármilyen szabadtéri tevékenység.</t>
        </is>
      </c>
    </row>
    <row r="1141">
      <c r="A1141" s="3" t="inlineStr">
        <is>
          <t>NEB-LTN-6555-G</t>
        </is>
      </c>
      <c r="B1141" s="2" t="inlineStr">
        <is>
          <t>NEBO NEB-LTN-6555-G Poppy, 300 lm, lámpás és reflektor, 3 funkció, dimmerelhető</t>
        </is>
      </c>
      <c r="C1141" s="1" t="n">
        <v>7190.0</v>
      </c>
      <c r="D1141" s="7" t="n">
        <f>HYPERLINK("https://www.somogyi.hu/product/nebo-neb-ltn-6555-g-poppy-300-lm-lampas-es-reflektor-3-funkcio-dimmerelheto-neb-ltn-6555-g-18687","https://www.somogyi.hu/product/nebo-neb-ltn-6555-g-poppy-300-lm-lampas-es-reflektor-3-funkcio-dimmerelheto-neb-ltn-6555-g-18687")</f>
        <v>0.0</v>
      </c>
      <c r="E1141" s="7" t="n">
        <f>HYPERLINK("https://www.somogyi.hu/data/img/product_main_images/small/18687.jpg","https://www.somogyi.hu/data/img/product_main_images/small/18687.jpg")</f>
        <v>0.0</v>
      </c>
      <c r="F1141" s="2" t="inlineStr">
        <is>
          <t>5060063225395</t>
        </is>
      </c>
      <c r="G1141" s="4" t="inlineStr">
        <is>
          <t>A NEBO POPPY egy olyan lámpás, amit bárhová magával vihet. 
Az eszköz 300 lumenes fényerővel rendelkezik lámpásként és 120 lumennel reflektorként, továbbá a dimmer funkcióval könnyedén szabályozhatja a fény intenzitását.
Az ellenálló gumírozott kialakítás miatt víz- és ütésálló, így kiránduláskor és műhelyekben is egyaránt megállja a helyét. 
Ne hagyja ki ezt a sokoldalú eszközt, a NEBO POPPY-val mindig tökéletes fényviszonyok várnak Önre, bárhol is jár!</t>
        </is>
      </c>
    </row>
    <row r="1142">
      <c r="A1142" s="3" t="inlineStr">
        <is>
          <t>NEB-LTN-1008-G</t>
        </is>
      </c>
      <c r="B1142" s="2" t="inlineStr">
        <is>
          <t>NEBO NEB-LTN-1008-G lámpás, GALILEO™ AIR 500, 500 lm - 20 lm, intelligens teljesítményvezérlés, IPX4, összecsukható, 20 lm piros fény</t>
        </is>
      </c>
      <c r="C1142" s="1" t="n">
        <v>12290.0</v>
      </c>
      <c r="D1142" s="7" t="n">
        <f>HYPERLINK("https://www.somogyi.hu/product/nebo-neb-ltn-1008-g-lampas-galileo-air-500-500-lm-20-lm-intelligens-teljesitmenyvezerles-ipx4-osszecsukhato-20-lm-piros-feny-neb-ltn-1008-g-18559","https://www.somogyi.hu/product/nebo-neb-ltn-1008-g-lampas-galileo-air-500-500-lm-20-lm-intelligens-teljesitmenyvezerles-ipx4-osszecsukhato-20-lm-piros-feny-neb-ltn-1008-g-18559")</f>
        <v>0.0</v>
      </c>
      <c r="E1142" s="7" t="n">
        <f>HYPERLINK("https://www.somogyi.hu/data/img/product_main_images/small/18559.jpg","https://www.somogyi.hu/data/img/product_main_images/small/18559.jpg")</f>
        <v>0.0</v>
      </c>
      <c r="F1142" s="2" t="inlineStr">
        <is>
          <t>5060945231575</t>
        </is>
      </c>
      <c r="G1142" s="4" t="inlineStr">
        <is>
          <t>Keres egy mindenhová magával vihető, megbízható fényforrást? A NEBO GALILEO™ AIR 500 lámpás az Ön tökéletes társa lesz kalandjain. Ez a rugalmas, összecsukható kialakítású lámpás könnyedén igazodik minden igényéhez, legyen szó kempingezésről, túrázásról vagy akár otthoni használatról. Kompakt és könnyű szerkezete ellenére, a tartós ABS műanyagból készült lámpatest por- és vízálló (IPX4), így bármilyen időjárási körülmények között megbízható fényforrás.
Az intelligens teljesítményvezérlés lehetővé teszi, hogy a lámpa fényerejét több üzemmódban szabályozza: a magas (500 lumen) állástól kezdve, a közepes és alacsony üzemmódokon át, egészen a villogó és piros fényig. Ez nem csak a fényerőt, hanem az akkumulátor élettartamát is optimalizálja, így a 3 db AA elemmel (tartozék) akár 15 órán át biztosíthat fényt. A piros és piros villogó üzemmódok kiválóan alkalmasak vészhelyzetek jelzésére, vagy ha csak diszkrét fényre van szüksége.
Az NEBO GALILEO™ AIR 500 nem csupán egy lámpás; egy megbízható társ a sötétben. Legyen szó esti olvasásról a sátorban, vagy biztonsági világításról otthon, ez a lámpás minden helyzetben megállja a helyét. Válassza a NEBO minőséget, és soha többé ne maradjon sötétben!</t>
        </is>
      </c>
    </row>
    <row r="1143">
      <c r="A1143" s="3" t="inlineStr">
        <is>
          <t>NEB-LTN-1011-G</t>
        </is>
      </c>
      <c r="B1143" s="2" t="inlineStr">
        <is>
          <t>NEBO GALILEO™ TEMPEST 350 lámpás, 350 lm, 8 üzemmód, vörös fény mód, 360°és 120, lámpa módban 112 m hatótáv, IPX7, hordfül, mágneses talp</t>
        </is>
      </c>
      <c r="C1143" s="1" t="n">
        <v>9490.0</v>
      </c>
      <c r="D1143" s="7" t="n">
        <f>HYPERLINK("https://www.somogyi.hu/product/nebo-galileo-tempest-350-lampas-350-lm-8-uzemmod-voros-feny-mod-360-es-120-lampa-modban-112-m-hatotav-ipx7-hordful-magneses-talp-neb-ltn-1011-g-18558","https://www.somogyi.hu/product/nebo-galileo-tempest-350-lampas-350-lm-8-uzemmod-voros-feny-mod-360-es-120-lampa-modban-112-m-hatotav-ipx7-hordful-magneses-talp-neb-ltn-1011-g-18558")</f>
        <v>0.0</v>
      </c>
      <c r="E1143" s="7" t="n">
        <f>HYPERLINK("https://www.somogyi.hu/data/img/product_main_images/small/18558.jpg","https://www.somogyi.hu/data/img/product_main_images/small/18558.jpg")</f>
        <v>0.0</v>
      </c>
      <c r="F1143" s="2" t="inlineStr">
        <is>
          <t>5060945231568</t>
        </is>
      </c>
      <c r="G1143" s="4" t="inlineStr">
        <is>
          <t>Egy sokoldalú világítási megoldást keres a szabadtéri kalandokhoz? A NEBO GALILEO™ TEMPEST 350 lámpás a tökéletes társ minden körülmények között.
Ez a kivételes eszköz 350 lumen fényerővel, valamint nyolc különböző világítási móddal - köztük egy különleges vörös fény funkcióval - biztosítja, hogy mindig a megfelelő fényviszonyok között tevékenykedhessen. A 360°-os körpanoráma vagy a 120°-os irányított világítási mód lehetővé teszi, hogy a lámpást a környezetének megfelelően használja, míg lámpaként használva a 112 méter hatótávolságú fénysugár gondoskodik arról, hogy távolra is ellásson. Az IPX7 vízállósági besorolásnak köszönhetően bármilyen időjárási körülmények között megbízható marad.
A multifunkciós, leválasztható hordfüllel és mágneses talppal rendelkező NEBO GALILEO™ TEMPEST 350 nem csak praktikus, hanem rendkívül könnyen szállítható is. Tegye próbára ezt a lámpást, és élvezze a kiváló minőségű, sokoldalú világítást bárhol, bármikor.</t>
        </is>
      </c>
    </row>
    <row r="1144">
      <c r="A1144" s="3" t="inlineStr">
        <is>
          <t>NEB-FLT-1033-G</t>
        </is>
      </c>
      <c r="B1144" s="2" t="inlineStr">
        <is>
          <t>NEBO NEB-FLT-1033-G BIG LARRY PRO + zseblámpa és szerelőlámpa, 600-40 lumen, akkumulátoros, IPX7, mágneses talp</t>
        </is>
      </c>
      <c r="C1144" s="1" t="n">
        <v>17290.0</v>
      </c>
      <c r="D1144" s="7" t="n">
        <f>HYPERLINK("https://www.somogyi.hu/product/nebo-neb-flt-1033-g-big-larry-pro-zseblampa-es-szerelolampa-600-40-lumen-akkumulatoros-ipx7-magneses-talp-neb-flt-1033-g-18386","https://www.somogyi.hu/product/nebo-neb-flt-1033-g-big-larry-pro-zseblampa-es-szerelolampa-600-40-lumen-akkumulatoros-ipx7-magneses-talp-neb-flt-1033-g-18386")</f>
        <v>0.0</v>
      </c>
      <c r="E1144" s="7" t="n">
        <f>HYPERLINK("https://www.somogyi.hu/data/img/product_main_images/small/18386.jpg","https://www.somogyi.hu/data/img/product_main_images/small/18386.jpg")</f>
        <v>0.0</v>
      </c>
      <c r="F1144" s="2" t="inlineStr">
        <is>
          <t>5060945230547</t>
        </is>
      </c>
      <c r="G1144" s="4" t="inlineStr">
        <is>
          <t>Olyan strapabíró, újratölthető zseblámpát keres, amely minden helyzetben megbízható fényforrást biztosít?
A NEBO NEB-FLT-1033-G BIG LARRY PRO + zseblámpa és szerelőlámpa tökéletes választás azok számára, akik prémium minőségű, többfunkciós világítóeszközt keresnek. Az akár 600 lumen fényerő, a különböző üzemmódok, valamint az USB-C újratölthetőség garantálja a kényelmes és hosszan tartó használatot. Az IPX7-es víz- és ütésállóság, valamint a strapabíró eloxált alumínium ház biztosítja, hogy a lámpa a legzordabb körülmények között is helytálljon.
Kiemelkedő teljesítmény több üzemmódban
A BIG LARRY PRO + lámpa számos üzemmódot kínál, amelyek különböző igényekhez igazíthatók:
- Zseblámpa üzemmód (220 lumen): Akár 11 órás üzemidővel és 82 méteres hatótávval rendelkezik, így ideális távolabbi területek megvilágítására.
- Szerelőlámpa üzemmód (600 lumen): 4,5 órás működési idővel és 33 méteres fényhatótávval, kiválóan használható javítási és szerelési munkák során.
- Piros fény üzemmód (40 lumen): Akár 8 órán át üzemel, és 7 méteres távolságot világít meg, ideális éjszakai jelzéshez és diszkrét megvilágításhoz.
- Direct-to-Red funkció: Azonnali váltás a piros fény üzemmódra, amely különösen hasznos vészhelyzetekben vagy éjszakai munkák során.
Strapabíró, időtálló kialakítás
A lámpa háza eloxált repülőipari minőségű alumíniumból készült, amely ellenáll a kopásnak, ütődésnek és a különféle környezeti hatásoknak. Az IPX7-es vízállóság biztosítja, hogy a lámpa ellenálljon a vízbe merítésnek is, így esős vagy párás környezetben is bátran használható. Az ütésállóság révén pedig nem kell aggódnia a kisebb balesetek miatt sem.
Kényelmes használat és praktikus funkciók
A mágneses talp lehetővé teszi a lámpa stabil rögzítését bármilyen fém felületre, így szabadon hagyja a kezeit a munkavégzéshez. Az acél övcsipesz segítségével könnyedén magával viheti, és mindig kéznél tarthatja. A lámpa gumírozott markolata kényelmes fogást biztosít, így hosszabb használat során sem csúszik ki a kézből.
Újratölthető akkumulátor USB-C csatlakozással
A BIG LARRY PRO + lámpát USB-C csatlakozón keresztül töltheti fel, ami gyors és kényelmes energiaellátást biztosít. Az újratölthető akkumulátor hosszú üzemidőt nyújt minden üzemmódban, így biztos lehet benne, hogy a lámpa hosszabb ideig is kiszolgálja igényeit. A beépített akkumulátor szint kijelző figyelmeztet a töltés szükségességére, elkerülve a kellemetlen meglepetéseket.
Kompakt méret és könnyű hordozhatóság
A kompakt méret lehetővé teszi, hogy a lámpa kényelmesen elférjen akár a zsebben, akár a szerszámos ládában. Ez különösen hasznos lehet szabadtéri tevékenységek, kirándulások vagy professzionális munkák során.
Miért válassza a NEBO NEB-FLT-1033-G BIG LARRY PRO + lámpát?
– 600 lumen maximális fényerő, amely kiváló megvilágítást biztosít minden környezetben 
– USB-C újratölthetőség, amely gyors és kényelmes energiaellátást tesz lehetővé 
– IPX7 víz- és ütésállóság, amely extrém körülmények között is garantálja a lámpa működését 
– Direct-to-Red funkció, amely azonnali váltást biztosít a piros fény üzemmódra 
– Mágneses talp és acél övcsipesz a kényelmes rögzítéshez és hordozáshoz 
– Eloxált alumínium ház, amely hosszú élettartamot garantál 
– Szabályozható fényerő és memóriafunkció, amely megkönnyíti a használatot
A NEBO NEB-FLT-1033-G BIG LARRY PRO + lámpa nemcsak egy egyszerű világítóeszköz, hanem egy megbízható társ minden helyzetben. Válassza ezt a prémium minőségű lámpát, ha fontos Önnek a strapabírás, a kényelem és a hosszú üzemidő!</t>
        </is>
      </c>
    </row>
    <row r="1145">
      <c r="A1145" s="3" t="inlineStr">
        <is>
          <t>NE6526</t>
        </is>
      </c>
      <c r="B1145" s="2" t="inlineStr">
        <is>
          <t>NEBO ARMOR 3 szerelő- és zseblámpa, NE6526, 360 lm - 40 lm, IPX7, Direct-to-Red funkció, acélcsipesz, mágneses talp, 3 üzemmód</t>
        </is>
      </c>
      <c r="C1145" s="1" t="n">
        <v>6490.0</v>
      </c>
      <c r="D1145" s="7" t="n">
        <f>HYPERLINK("https://www.somogyi.hu/product/nebo-armor-3-szerelo-es-zseblampa-ne6526-360-lm-40-lm-ipx7-direct-to-red-funkcio-acelcsipesz-magneses-talp-3-uzemmod-ne6526-18125","https://www.somogyi.hu/product/nebo-armor-3-szerelo-es-zseblampa-ne6526-360-lm-40-lm-ipx7-direct-to-red-funkcio-acelcsipesz-magneses-talp-3-uzemmod-ne6526-18125")</f>
        <v>0.0</v>
      </c>
      <c r="E1145" s="7" t="n">
        <f>HYPERLINK("https://www.somogyi.hu/data/img/product_main_images/small/18125.jpg","https://www.somogyi.hu/data/img/product_main_images/small/18125.jpg")</f>
        <v>0.0</v>
      </c>
      <c r="F1145" s="2" t="inlineStr">
        <is>
          <t>5060063226712</t>
        </is>
      </c>
      <c r="G1145" s="4" t="inlineStr">
        <is>
          <t>Fedezze fel a NEBO ARMOR 3 szerelő- és zseblámpa rendkívüli sokoldalúságát, amely minden kihívásnak megfelel! Ez a robusztus, csúszásmentes gumibevonattal ellátott lámpa nem csak a szélsőséges körülményeket állja ki, hanem az IPX7-es vízállósági és ütésállósági minősítéssel a legkeményebb munkához is ideális társ.
Az állítható fényerő és a Direct-to-Red funkció biztosítja, hogy mindig a megfelelő fényviszonyok mellett dolgozhasson, legyen szó akár erős fényről a munkaterület megvilágításához, akár diszkrét piros fényről, amely kíméli a szemeket éjszaka. A praktikus acélcsipesz és az erőteljes, billenthető mágneses talp lehetővé teszi, hogy a lámpát kényelmesen rögzítse bármilyen fémfelületre, így mindkét kezével szabadon dolgozhat.
A tápellátását 3 db AAA elem biztosítja, amelyeket a csomag tartalmaz, így az ARMOR 3 azonnal használatra kész. Három üzemmódja - a COB szerelőlámpa 360 lumennel 2,5 óráig, a szpotlámpa 160 lumennel 5 óráig, és a piros COB szerelőlámpa 40 lumennel 1,5 óráig - minden igényt kielégít.
Kompakt méretével és csupán 195 gramm súlyával a NEBO ARMOR 3 tökéletes választás mindazok számára, akik egy megbízható, hordozható világítási megoldást keresnek, legyen szó otthoni barkácsolásról, kempingezésről vagy bármilyen szabadtéri tevékenységről. Ne hagyja, hogy a sötétség megállítsa - válassza a NEBO ARMOR 3-at!</t>
        </is>
      </c>
    </row>
    <row r="1146">
      <c r="A1146" s="3" t="inlineStr">
        <is>
          <t>NEB-SPT-1005-G</t>
        </is>
      </c>
      <c r="B1146" s="2" t="inlineStr">
        <is>
          <t>NEBO NEB-SPT-1005-G Master Series SL25 keresőlámpa, 600 lm, 400 m, 3 funkció, IP67, állványra szerelhető, mágneses, övcsipesz</t>
        </is>
      </c>
      <c r="C1146" s="1" t="n">
        <v>40190.0</v>
      </c>
      <c r="D1146" s="7" t="n">
        <f>HYPERLINK("https://www.somogyi.hu/product/nebo-neb-spt-1005-g-master-series-sl25-keresolampa-600-lm-400-m-3-funkcio-ip67-allvanyra-szerelheto-magneses-ovcsipesz-neb-spt-1005-g-18040","https://www.somogyi.hu/product/nebo-neb-spt-1005-g-master-series-sl25-keresolampa-600-lm-400-m-3-funkcio-ip67-allvanyra-szerelheto-magneses-ovcsipesz-neb-spt-1005-g-18040")</f>
        <v>0.0</v>
      </c>
      <c r="E1146" s="7" t="n">
        <f>HYPERLINK("https://www.somogyi.hu/data/img/product_main_images/small/18040.jpg","https://www.somogyi.hu/data/img/product_main_images/small/18040.jpg")</f>
        <v>0.0</v>
      </c>
      <c r="F1146" s="2" t="inlineStr">
        <is>
          <t>5060945230028</t>
        </is>
      </c>
      <c r="G1146" s="4" t="inlineStr">
        <is>
          <t>Miért válassza a NEBO MASTER SERIES SL25 Elemlámpát?
Mert ez a masszív és megbízható 500 lumenes elemlámpa mindent tud, amire szüksége lehet! USB-C újratölthető akkumulátorokkal, mágneses üzemmódválasztó tárcsával és intelligens teljesítményvezérléssel rendelkezik.
Optimalizált teljesítménygörbéje révén mindig maximális fényt nyújt, valamint állványra is rögzíthető. Az ergonomikus gumírozott markolat kényelmes fogást biztosít, és a vízálló (IP67), ütésálló (2 méterig), eloxált repülőgép minőségű alumínium kivitel tartósságot garantál.
A NEBO SL25-öt erős mágneses talppal és LED teljesítmény/töltésjelzővel látták el. Válasszon a különböző üzemmódok közül, és élvezze a hosszú üzemidőt, legyen szó az 500 lumenes szpot megvilágításról, a 600 lumenes fehér COB világításról. 
Ezzel a lámpával a legsötétebb éjszaka is nappallá változik! Tegye kosarába most, és fedezze fel a fény erejét!</t>
        </is>
      </c>
    </row>
    <row r="1147">
      <c r="A1147" s="3" t="inlineStr">
        <is>
          <t>NEB-SPT-1004-G</t>
        </is>
      </c>
      <c r="B1147" s="2" t="inlineStr">
        <is>
          <t>NEBO NEB-SPT-1004-G Luxtreme SL25R keresőlámpa, 500 lm, 400 m, 3 funkció, IP67, 2000 mAh, 1/4" tripodra szerelhető, övcsipesz, mágneses</t>
        </is>
      </c>
      <c r="C1147" s="1" t="n">
        <v>26890.0</v>
      </c>
      <c r="D1147" s="7" t="n">
        <f>HYPERLINK("https://www.somogyi.hu/product/nebo-neb-spt-1004-g-luxtreme-sl25r-keresolampa-500-lm-400-m-3-funkcio-ip67-2000-mah-1-4-tripodra-szerelheto-ovcsipesz-magneses-neb-spt-1004-g-17824","https://www.somogyi.hu/product/nebo-neb-spt-1004-g-luxtreme-sl25r-keresolampa-500-lm-400-m-3-funkcio-ip67-2000-mah-1-4-tripodra-szerelheto-ovcsipesz-magneses-neb-spt-1004-g-17824")</f>
        <v>0.0</v>
      </c>
      <c r="E1147" s="7" t="n">
        <f>HYPERLINK("https://www.somogyi.hu/data/img/product_main_images/small/17824.jpg","https://www.somogyi.hu/data/img/product_main_images/small/17824.jpg")</f>
        <v>0.0</v>
      </c>
      <c r="F1147" s="2" t="inlineStr">
        <is>
          <t>5060063229379</t>
        </is>
      </c>
      <c r="G1147" s="4" t="inlineStr">
        <is>
          <t>Szeretne egy elemlámpát, ami szinte bárhol és bármikor megállja a helyét? A NEBO LUXTREME SL25R minden elvárását felülmúlja.
Ez az elemlámpa nemcsak egy fényforrás, hanem egy igazi túlélő. Az eloxált, repülőipari minőségű alumínium ház megvédi a külső behatásoktól, és a víz-, és porálló (IP67), ütésálló kialakításnak köszönhetően majdnem minden időjárási körülménynek ellenáll.
Az üzemmódválasztó tárcsa lehetővé teszi, hogy könnyedén váltogasson a keresőlámpa-funkció, szórt fény és piros szórt fény között, így mindig megtalálja a megfelelő világítási módot. A szabványos, 1/4” tripodra való szerelhetőségnek köszönhetően könnyedén rögzítheti bárhol, ahol szüksége van rá.
Az övcsipesz praktikus viseletet biztosít, és az erős mágneses talpnak köszönhetően szinte bármilyen fémfelülethez rögzítheti. A 2000 mAh akkumulátor hosszú üzemidőt biztosít, így nem kell aggódnia az elemek cseréje miatt.
Ne hagyja ki ezt a lehetőséget, és tegye kosarába még ma, hogy felfedezhesse, mire képes ez a kivételes elemlámpa! 
A NEBO LUXTREME SL25R mindig és mindenhol Ön mellett áll, legyen szó akár kempingezésről, túrázásról vagy egyszerűen csak otthoni használatról.</t>
        </is>
      </c>
    </row>
    <row r="1148">
      <c r="A1148" s="3" t="inlineStr">
        <is>
          <t>NEB-LTN-1003-G</t>
        </is>
      </c>
      <c r="B1148" s="2" t="inlineStr">
        <is>
          <t>NEBO NEB-LTN-1003-G Galileo AIR 1000, PowerBank és lámpa IPX4, 2500 mAh, 1000 lm - 100 lm, 4 üzemmód, 40 lm piros fény</t>
        </is>
      </c>
      <c r="C1148" s="1" t="n">
        <v>15190.0</v>
      </c>
      <c r="D1148" s="7" t="n">
        <f>HYPERLINK("https://www.somogyi.hu/product/nebo-neb-ltn-1003-g-galileo-air-1000-powerbank-es-lampa-ipx4-2500-mah-1000-lm-100-lm-4-uzemmod-40-lm-piros-feny-neb-ltn-1003-g-17820","https://www.somogyi.hu/product/nebo-neb-ltn-1003-g-galileo-air-1000-powerbank-es-lampa-ipx4-2500-mah-1000-lm-100-lm-4-uzemmod-40-lm-piros-feny-neb-ltn-1003-g-17820")</f>
        <v>0.0</v>
      </c>
      <c r="E1148" s="7" t="n">
        <f>HYPERLINK("https://www.somogyi.hu/data/img/product_main_images/small/17820.jpg","https://www.somogyi.hu/data/img/product_main_images/small/17820.jpg")</f>
        <v>0.0</v>
      </c>
      <c r="F1148" s="2" t="inlineStr">
        <is>
          <t>5060063229317</t>
        </is>
      </c>
      <c r="G1148" s="4" t="inlineStr">
        <is>
          <t>Tudta, hogy egy eszköz lehet egyszerre lámpa és powerbank is? A NEBO NEB-LTN-1003-G Galileo AIR 1000 nem csupán fényt biztosít, de energiával is feltöltheti eszközeit. 
Ez a sokoldalú készülék 6 különböző üzemmóddal rendelkezik, beleértve a nagy fényerőt (1000 lumen), közepes fényerőt (500 lumen), kis fényerőt (100 lumen), villogó üzemmódot (500 lumen), piros fényt (40 lumen) és villogó piros fényt (40 lumen). A különféle üzemmódokhoz igazodva a működési idő is változik: nagy fényerőn 1 órát, közepes fényerőn 5 órát, kis fényerőn 10 órát, villogó üzemmódban 2,5 órát, piros fényen 10 órát, és villogó piros fényen 5 órát bír.
A Galileo AIR 1000 különlegessége az, hogy képes megvilágítani akár 20 méteres távolságot is nagy fényerőn, míg a közepes fényerővel 14 méter, kis fényerővel pedig 6 méter a hatótávolsága. A készülék smart power control funkcióval van ellátva, ami intelligensen kezeli az energiát a maximális hatékonyság érdekében. Az IPX4 víz elleni védelem biztosítja, hogy esős időben is nyugodtan használhatja.
Ez a lámpa nem csak praktikus, de kompakt is, 5,7 x 12 x 12,4 cm-es mérete összecsukva rendkívül helytakarékos. Az akkumulátora Li-pol 104050, 2500 mAh kapacitású, így hosszú távon is megbízható. Emellett a Galileo AIR 1000 különleges, flexibilis kialakítással rendelkezik, és könnyedén felakasztható, így bármilyen helyzetben hasznos társ lehet.
Ne hagyja ki ezt a sokoldalú eszközt, amely egyszerre biztosít fényt és energiát, bárhol és bármikor szüksége van rá! Vásárolja meg most, és tapasztalja meg a NEBO Galileo AIR 1000 előnyeit saját maga!</t>
        </is>
      </c>
    </row>
    <row r="1149">
      <c r="A1149" s="3" t="inlineStr">
        <is>
          <t>NEB-FLT-1046-G</t>
        </is>
      </c>
      <c r="B1149" s="2" t="inlineStr">
        <is>
          <t>NEBO DAVINCI™ 450L FLEX elemlámpa, 6x-os zoom, alumínium test, IPX4, 600mAh Li-ion akku, max. 450 lumen</t>
        </is>
      </c>
      <c r="C1149" s="1" t="n">
        <v>12390.0</v>
      </c>
      <c r="D1149" s="7" t="n">
        <f>HYPERLINK("https://www.somogyi.hu/product/nebo-davinci-450l-flex-elemlampa-6x-os-zoom-aluminium-test-ipx4-600mah-li-ion-akku-max-450-lumen-neb-flt-1046-g-18381","https://www.somogyi.hu/product/nebo-davinci-450l-flex-elemlampa-6x-os-zoom-aluminium-test-ipx4-600mah-li-ion-akku-max-450-lumen-neb-flt-1046-g-18381")</f>
        <v>0.0</v>
      </c>
      <c r="E1149" s="7" t="n">
        <f>HYPERLINK("https://www.somogyi.hu/data/img/product_main_images/small/18381.jpg","https://www.somogyi.hu/data/img/product_main_images/small/18381.jpg")</f>
        <v>0.0</v>
      </c>
      <c r="F1149" s="2" t="inlineStr">
        <is>
          <t>5060945230622</t>
        </is>
      </c>
      <c r="G1149" s="4" t="inlineStr">
        <is>
          <t>Keresett már olyan elemlámpát, amely erős fényt biztosít, strapabíró, és számos körülmény között megbízhatóan működik? A NEBO DAVINCI™ 450L FLEX elemlámpa tökéletes választás mindazoknak, akiknek szükségük van egy sokoldalú, tartós és könnyen kezelhető fényforrásra.
A NEBO DAVINCI™ 450L FLEX egy robusztus kialakítású lámpa, amelyet eloxált repülőipari minőségű alumíniumból készítettek, így garantáltan ellenáll a zord környezeti hatásoknak. Az IPX4 víz- és ütésállóság biztosítja, hogy még a legnehezebb időjárási körülmények között is használható legyen. Az elemlámpa konvex lencséje és 6x állítható zoom funkciója lehetővé teszi, hogy a fényerőt pontosan az Ön igényei szerint állítsa be – a szűkített vagy szélesebb fénysugár könnyedén szabályozható, akár nagy távolságra, akár közeli terület megvilágítására van szükség.
A Flex-Power™ technológia rugalmasságot biztosít a használat során: választhat a beépített 600 mAh Li-ion akkumulátor és hagyományos elemek közötti tápellátás között. Az akkumulátor töltöttségét egy praktikus kijelző mutatja, így mindig láthatja, mikor van szükség újratöltésre. Az erős mágneses talp és a két irányban állítható acél övcsipesz révén a lámpa könnyen rögzíthető, szabad kezet biztosítva bármilyen feladat során. Elemekkel használva a lámpa is hatékony marad, nagy fényerőn 90 lumen, alacsony üzemmódban 30 lumen, míg a stroboszkóp mód szintén 90 lumenes teljesítményt nyújt.
Az elemlámpa különböző üzemmódokkal rendelkezik, amelyek alkalmazkodnak a különböző világítási igényekhez:
- Nagy fényerő: akár 250 lumen 2,5 órán át, 160 méteres hatótávolsággal.
- Alacsony üzemmód: 80 lumen 5,5 órán keresztül, 89 méteres hatótávolság.
- Stroboszkóp üzemmód: 250 lumen, 2 órás üzemidő és 160 méteres hatótáv.
- Turbó üzemmód: maximális 450 lumen, amely 40 másodperces intenzív világítást biztosít akár 237 métertávolságra.
Ne hagyja, hogy a sötétség korlátozza a tevékenységeit! A NEBO DAVINCI™ 450L FLEX elemlámpa segítségével bármilyen környezetben biztosíthatja a szükséges világítást.</t>
        </is>
      </c>
    </row>
    <row r="1150">
      <c r="A1150" s="3" t="inlineStr">
        <is>
          <t>NEB-POC-0006-G</t>
        </is>
      </c>
      <c r="B1150" s="2" t="inlineStr">
        <is>
          <t>NEBO NEB-POC-0006-G Columbo 100 zseblámpa, 100 lm - 35 lm, IP67, 4x zoom, acél zsebcsipesz</t>
        </is>
      </c>
      <c r="C1150" s="1" t="n">
        <v>5390.0</v>
      </c>
      <c r="D1150" s="7" t="n">
        <f>HYPERLINK("https://www.somogyi.hu/product/nebo-neb-poc-0006-g-columbo-100-zseblampa-100-lm-35-lm-ip67-4x-zoom-acel-zsebcsipesz-neb-poc-0006-g-17401","https://www.somogyi.hu/product/nebo-neb-poc-0006-g-columbo-100-zseblampa-100-lm-35-lm-ip67-4x-zoom-acel-zsebcsipesz-neb-poc-0006-g-17401")</f>
        <v>0.0</v>
      </c>
      <c r="E1150" s="7" t="n">
        <f>HYPERLINK("https://www.somogyi.hu/data/img/product_main_images/small/17401.jpg","https://www.somogyi.hu/data/img/product_main_images/small/17401.jpg")</f>
        <v>0.0</v>
      </c>
      <c r="F1150" s="2" t="inlineStr">
        <is>
          <t>5060063228303</t>
        </is>
      </c>
      <c r="G1150" s="4" t="inlineStr">
        <is>
          <t>A NEBO COLUMBO™ 100 egy praktikus zseblámpa, amely eloxált, repülőipari minőségű alumíniumból készült és 4 x-es zoommal rendelkezik.
Easy Touch technológiával készült, 3 üzemmód közül választhatunk 100 lumen fényerőig.
Az acél zsebcsipesszel praktikusan rögzíthető zsebre, így mindig könnyedén elérhető, ha szükségünk van rá.
Méretei alapján széles körben napi használati kellék lehet. Alkalmas különböző szereléseknél, szűk, nehezen hozzáférhető helyek megvilágítására, továbbá egészségügyben pl. garatvizsgáló eszközként is kiváló.</t>
        </is>
      </c>
    </row>
    <row r="1151">
      <c r="A1151" s="3" t="inlineStr">
        <is>
          <t>NEB-FLT-1016-G</t>
        </is>
      </c>
      <c r="B1151" s="2" t="inlineStr">
        <is>
          <t>NEBO DAVINCI™ 8000 elemlámpa, NEB-FLT-1016-G, 8000 lm, akkumulátoros, 4x zoom, IP67, power bank, 5000 mAh, 5 funkció, USB-A - USB-C töltőkábel</t>
        </is>
      </c>
      <c r="C1151" s="1" t="n">
        <v>46490.0</v>
      </c>
      <c r="D1151" s="7" t="n">
        <f>HYPERLINK("https://www.somogyi.hu/product/nebo-davinci-8000-elemlampa-neb-flt-1016-g-8000-lm-akkumulatoros-4x-zoom-ip67-power-bank-5000-mah-5-funkcio-usb-a-usb-c-toltokabel-neb-flt-1016-g-18380","https://www.somogyi.hu/product/nebo-davinci-8000-elemlampa-neb-flt-1016-g-8000-lm-akkumulatoros-4x-zoom-ip67-power-bank-5000-mah-5-funkcio-usb-a-usb-c-toltokabel-neb-flt-1016-g-18380")</f>
        <v>0.0</v>
      </c>
      <c r="E1151" s="7" t="n">
        <f>HYPERLINK("https://www.somogyi.hu/data/img/product_main_images/small/18380.jpg","https://www.somogyi.hu/data/img/product_main_images/small/18380.jpg")</f>
        <v>0.0</v>
      </c>
      <c r="F1151" s="2" t="inlineStr">
        <is>
          <t>5060945230615</t>
        </is>
      </c>
      <c r="G1151" s="4" t="inlineStr">
        <is>
          <t>Fedezze fel a sötétségben rejlő titkokat a NEBO DAVINCI 8000 elemlámpával, ami képes 8000 lumen fényerővel átszelni a sötétséget. Ez az akkumulátoros zseblámpa, amely eloxált repülőgépipari minőségű alumíniumból készült, tökéletes társ a legkeményebb körülmények között is, hiszen víz- és porállósága garantált (IP67 minősítés).
Az innovatív mágneses üzemmód választó tárcsa lehetővé teszi a felhasználó számára, hogy könnyedén válthasson a különböző fényerősségek és funkciók között. A 4x zoom segítségével fókuszálható a fénysugár, a beépített power bank funkciónak köszönhetően pedig nem csak világít, hanem mobil eszközei feltöltésére is használható, így sosem marad energia nélkül.
A NEBO DAVINCI 8000 nem csupán egy elemlámpa; a Smart Power Control™ (SPC) és Smart Temperature Control™ (STC) rendszerekkel felszerelve intelligensen szabályozza a teljesítményt és a hőmérsékletet, biztosítva a lámpa optimális működését és hosszú élettartamát. A Direct-to-Low funkcióval pedig azonnal az alacsony fényerősségre válthat, ha szükséges.
Legyen szó egy rövid 30 másodperces turbó módról 8000 lumennel, vagy akár 45 órás folyamatos világításról alacsonyabb üzemmódban, a DAVINCI 8000 minden igényt kielégít. A csomag tartalmaz egy USB-A - USB-C töltőkábelt és egy levehető csuklópántot is a kényelmes és biztonságos használat érdekében.
Indítsa el legújabb kalandját a NEBO DAVINCI 8000 elemlámpával, és élvezze a fény által nyújtott biztonságot és kényelmet, bármerre is viszi az út.</t>
        </is>
      </c>
    </row>
    <row r="1152">
      <c r="A1152" s="3" t="inlineStr">
        <is>
          <t>NEB-FLT-1070-G</t>
        </is>
      </c>
      <c r="B1152" s="2" t="inlineStr">
        <is>
          <t>NEBO NEB-FLT-1070-G elemlámpa, DAVINCI 12000 RC Mag Dial, 12 000 lm - 300 lm, IP67, SPC, STC, 2x zoom, USB-C, Akkumulátor töltöttség kijelző, csuklópánt</t>
        </is>
      </c>
      <c r="C1152" s="1" t="n">
        <v>63090.0</v>
      </c>
      <c r="D1152" s="7" t="n">
        <f>HYPERLINK("https://www.somogyi.hu/product/nebo-neb-flt-1070-g-elemlampa-davinci-12000-rc-mag-dial-12-000-lm-300-lm-ip67-spc-stc-2x-zoom-usb-c-akkumulator-toltottseg-kijelzo-csuklopant-neb-flt-1070-g-18560","https://www.somogyi.hu/product/nebo-neb-flt-1070-g-elemlampa-davinci-12000-rc-mag-dial-12-000-lm-300-lm-ip67-spc-stc-2x-zoom-usb-c-akkumulator-toltottseg-kijelzo-csuklopant-neb-flt-1070-g-18560")</f>
        <v>0.0</v>
      </c>
      <c r="E1152" s="7" t="n">
        <f>HYPERLINK("https://www.somogyi.hu/data/img/product_main_images/small/18560.jpg","https://www.somogyi.hu/data/img/product_main_images/small/18560.jpg")</f>
        <v>0.0</v>
      </c>
      <c r="F1152" s="2" t="inlineStr">
        <is>
          <t>5060945231551</t>
        </is>
      </c>
      <c r="G1152" s="4" t="inlineStr">
        <is>
          <t>Egy olyan elemlámpát keres, amely minden helyzetben kivilágítja az utat? A NEBO DAVINCI 12000 RC Mag Dial az Ön megoldása. Ez az USB-C újratölthető elemlámpa akár 12000 lumen fényerőt képes produkálni, így a legsötétebb éjszakában is útmutató fényként szolgál. A két állítható zoomnak köszönhetően tökéletesen szabályozható a fénykúp, legyen szükség széles körű megvilágításra vagy éppen egy konkrét pont pontos kivilágítására.
A Smart Power Control (SPC) és az Intelligens hőmérséklet-szabályozás (STC) gondoskodik arról, hogy az elemlámpa mindig optimális teljesítményt nyújtson, miközben megőrzi az akkumulátor élettartamát és védi a lámpát a túlmelegedéstől. Az ergonomikus gumi markolat biztos fogást kínál, míg az akkumulátor töltöttség kijelzője mindig tájékoztatja a felhasználót az akkumulátor állapotáról.
Az eloxált repülőgép-minőségű alumíniumból készült elemlámpa vízálló (IP67) és ütésálló, így az extrém körülmények között is megbízható társ. A csomag tartalmaz egy USB-C töltőkábelt és egy csuklópántot is, így a lámpa mindig kéznél lehet.
Válassza a NEBO DAVINCI 12000 RC Mag Dial elemlámpát, és ne hagyja, hogy a sötétség korlátozza! Legyen szó túrázásról, kempingezésről vagy akár otthoni használatról, ez a lámpa minden igényt kielégít.</t>
        </is>
      </c>
    </row>
    <row r="1153">
      <c r="A1153" s="3" t="inlineStr">
        <is>
          <t>NEB-6373-G</t>
        </is>
      </c>
      <c r="B1153" s="2" t="inlineStr">
        <is>
          <t>NEBO NEB-6373-G Lil Larry munkalámpa, 250 lm, mágneses, övcsipesz, csúszásgátló markolat</t>
        </is>
      </c>
      <c r="C1153" s="1" t="n">
        <v>5590.0</v>
      </c>
      <c r="D1153" s="7" t="n">
        <f>HYPERLINK("https://www.somogyi.hu/product/nebo-neb-6373-g-lil-larry-munkalampa-250-lm-magneses-ovcsipesz-csuszasgatlo-markolat-neb-6373-g-17408","https://www.somogyi.hu/product/nebo-neb-6373-g-lil-larry-munkalampa-250-lm-magneses-ovcsipesz-csuszasgatlo-markolat-neb-6373-g-17408")</f>
        <v>0.0</v>
      </c>
      <c r="E1153" s="7" t="n">
        <f>HYPERLINK("https://www.somogyi.hu/data/img/product_main_images/small/17408.jpg","https://www.somogyi.hu/data/img/product_main_images/small/17408.jpg")</f>
        <v>0.0</v>
      </c>
      <c r="F1153" s="2" t="inlineStr">
        <is>
          <t>5060063228556</t>
        </is>
      </c>
      <c r="G1153" s="4" t="inlineStr">
        <is>
          <t>Keres egy sokoldalú szerelőlámpát, amely szinte minden helyzetben megállja a helyét? 
A NEBO LIL LARRY nem csak egy átlagos szerelőlámpa: ez egy igazi munkaeszköz, amely minőségével és funkcionalitásával a piac élvonalába tartozik. 
Az eszköz víz- és ütésálló, így a legkeményebb környezeti feltételek között is megbízhatóan használható. 
Az ergonómikus, csúszásgátló markolat kényelmes használatot tesz lehetővé, még hosszabb használatkor is.
Az acél övcsipesznek és az erős mágneses talpnak köszönhetően a lámpa különböző pozíciókban rögzíthető, így a kezei szabadon maradnak. 
A nagy teljesítményű 250 lm COB LED szerelőlámpa fénye tiszta és erős, tökéletesen alkalmas mindenféle szerelési és munkahelyi feladatokhoz. 
Ha pedig vészhelyzetben lenne, a nagy teljesítményű COB LED piros vészhelyzet villogó funkció segítségére lehet. 
Tápellátását 3 x AAA elem biztosítja, amely tartozék a csomagban. 
Az eszköz kompakt méretei, mindössze 15,4 x 1,5 x 2 cm, lehetővé teszik, hogy könnyedén magával vigye.
Ne elégedjen meg kevesebbel! Válassza a NEBO LIL LARRY szerelőlámpát, és érezze a kiváló minőséget és megbízhatóságot!</t>
        </is>
      </c>
    </row>
    <row r="1154">
      <c r="A1154" s="3" t="inlineStr">
        <is>
          <t>NEB-HLP-1001-G</t>
        </is>
      </c>
      <c r="B1154" s="2" t="inlineStr">
        <is>
          <t>NEBO NEB-HLP-1001-G Transcend 1500, Fejlámpa, 1500 lm - 30 lm, 5 üzemmód, Smart Powr Control, IPX7, 3200 mAh</t>
        </is>
      </c>
      <c r="C1154" s="1" t="n">
        <v>26890.0</v>
      </c>
      <c r="D1154" s="7" t="n">
        <f>HYPERLINK("https://www.somogyi.hu/product/nebo-neb-hlp-1001-g-transcend-1500-fejlampa-1500-lm-30-lm-5-uzemmod-smart-powr-control-ipx7-3200-mah-neb-hlp-1001-g-17819","https://www.somogyi.hu/product/nebo-neb-hlp-1001-g-transcend-1500-fejlampa-1500-lm-30-lm-5-uzemmod-smart-powr-control-ipx7-3200-mah-neb-hlp-1001-g-17819")</f>
        <v>0.0</v>
      </c>
      <c r="E1154" s="7" t="n">
        <f>HYPERLINK("https://www.somogyi.hu/data/img/product_main_images/small/17819.jpg","https://www.somogyi.hu/data/img/product_main_images/small/17819.jpg")</f>
        <v>0.0</v>
      </c>
      <c r="F1154" s="2" t="inlineStr">
        <is>
          <t>5060063228211</t>
        </is>
      </c>
      <c r="G1154" s="4" t="inlineStr">
        <is>
          <t>Keres egy fejlámpát, amely nem csupán a sötétségben segíti Önt, de a legkülönbözőbb helyzetekhez is alkalmazkodik? 
A NEBO TRANSCEND 1500 fejlámpa az, amire szüksége van, ha igazán sokoldalú és megbízható társat keres. 
Eloxált, repülőipari minőségű alumíniumból készült, és víz- (IPX7) valamint ütésálló, így rendkívüli tartósság jellemzi.
A 3200 mAh akkumulátor hosszú üzemidőt biztosít, míg a Smart Power Control (intelligens teljesítmény-szabályozás) és az alacsony töltöttségi szint kijelzése révén a fejlámpa használata egyszerű és kényelmes. Az eltávolítható tartóval és az állítható dőlésszöggel a lámpa tökéletesen igazodik a használó igényeihez. 
Az erős mágneses talp lehetővé teszi a lámpa rögzítését fém felületeken. 
Turbó (1500 lm), nagy fényerő (750 lm), közepes fényerő (300 lm), kis fényerő (30 lm) és villogó üzemmód (750 lm) állnak rendelkezésre, így a lámpa széles spektrumú felhasználást tesz lehetővé. 
Mindezt kompakt méretben (fejpánt nélküli dimenziók 3,4 x 9,47 x 4,22 cm).
Ismerje meg a NEBO TRANSCEND 1500 fejlámpa előnyeit és élvezze a minőségi, megbízható világítást! Ne hagyja, hogy a sötétség korlátozza, lépjen be az új dimenzióba a világítástechnikában!</t>
        </is>
      </c>
    </row>
    <row r="1155">
      <c r="A1155" s="3" t="inlineStr">
        <is>
          <t>NEB-OTH-0001-G</t>
        </is>
      </c>
      <c r="B1155" s="2" t="inlineStr">
        <is>
          <t>NEBO NEB-OTH-0001-G High Bright 6000, 6000 lm, 60 W, garázslámpa</t>
        </is>
      </c>
      <c r="C1155" s="1" t="n">
        <v>12290.0</v>
      </c>
      <c r="D1155" s="7" t="n">
        <f>HYPERLINK("https://www.somogyi.hu/product/nebo-neb-oth-0001-g-high-bright-6000-6000-lm-60-w-garazslampa-neb-oth-0001-g-17434","https://www.somogyi.hu/product/nebo-neb-oth-0001-g-high-bright-6000-6000-lm-60-w-garazslampa-neb-oth-0001-g-17434")</f>
        <v>0.0</v>
      </c>
      <c r="E1155" s="7" t="n">
        <f>HYPERLINK("https://www.somogyi.hu/data/img/product_main_images/small/17434.jpg","https://www.somogyi.hu/data/img/product_main_images/small/17434.jpg")</f>
        <v>0.0</v>
      </c>
      <c r="F1155" s="2" t="inlineStr">
        <is>
          <t>5060063228617</t>
        </is>
      </c>
      <c r="G1155" s="4" t="inlineStr">
        <is>
          <t>Megesett már Önnel, hogy garázsában alig talált meg valamit a gyenge fényviszonyok miatt? 
Amennyiben igen, bemutatjuk Önnek a HIGH BRIGHT 6000 ultrafényes garázslámpát, amely teljesen új szintre emeli a tér bevilágítását! 
Ez a forradalmi lámpa egyenként, 90 fokban állítható LED panelekkel rendelkezik, így a fény pontosan oda irányítható, ahol arra szükség van.
Az energiahatékony, mindössze 60 W-os kialakítás ellenére a HIGH BRIGHT 6000 elképesztő, 6000 lumen fényerővel bír, ami 600%-kal nagyobb fényerőt biztosít, mint egy átlagos 60 W-os izzó. 
A gyors és könnyű felszerelésnek köszönhetően rövid idő alatt birtokba veheti új, fényben úszó garázsát. 
A kompakt méreteknek – behajtott panelekkel mindössze 11,6 x 13 x 12,7 cm – köszönhetően a lámpa még a legszűkebb helyeken is elfér.
Ne elégedjen meg az átlagosnál kevesebbel! Ha világításról van szó, a HIGH BRIGHT 6000 nem ismer kompromisszumot. 
Rendelje meg még ma, és tapasztalja meg, milyen az, amikor a fény valóban az Ön szolgálatában áll!</t>
        </is>
      </c>
    </row>
    <row r="1156">
      <c r="A1156" s="3" t="inlineStr">
        <is>
          <t>NE6908</t>
        </is>
      </c>
      <c r="B1156" s="2" t="inlineStr">
        <is>
          <t>NEBO NE6908 Big Poppy, PowerBank és lámpás, 300 lm, lámpás és reflektor, 3 funkció, dimmerelhető, 2600 mAh</t>
        </is>
      </c>
      <c r="C1156" s="1" t="n">
        <v>11990.0</v>
      </c>
      <c r="D1156" s="7" t="n">
        <f>HYPERLINK("https://www.somogyi.hu/product/nebo-ne6908-big-poppy-powerbank-es-lampas-300-lm-lampas-es-reflektor-3-funkcio-dimmerelheto-2600-mah-ne6908-17433","https://www.somogyi.hu/product/nebo-ne6908-big-poppy-powerbank-es-lampas-300-lm-lampas-es-reflektor-3-funkcio-dimmerelheto-2600-mah-ne6908-17433")</f>
        <v>0.0</v>
      </c>
      <c r="E1156" s="7" t="n">
        <f>HYPERLINK("https://www.somogyi.hu/data/img/product_main_images/small/17433.jpg","https://www.somogyi.hu/data/img/product_main_images/small/17433.jpg")</f>
        <v>0.0</v>
      </c>
      <c r="F1156" s="2" t="inlineStr">
        <is>
          <t>5060063227719</t>
        </is>
      </c>
      <c r="G1156" s="4" t="inlineStr">
        <is>
          <t>Mi lenne, ha egyetlen eszközzel nem csak világítani, de tölteni is tudna? A NEBO BIG POPPY pont ilyen multifunkciós megoldás, amit bárhová magával vihet. 
Az eszköz 300 lumenes fényerővel rendelkezik lámpásként és 120 lumennel reflektorként, továbbá a dimmer funkcióval könnyedén szabályozhatja a fény intenzitását mindkét üzemmódban.
Az ellenálló gumírozott kialakítás miatt víz- és ütésálló, így kiránduláskor és műhelyekben is egyaránt megállja a helyét. 
Az állítható fogantyú és a valósághű lángeffektus még többféle használatot tesz lehetővé. 
Power Bank funkciójával USB-ről tölthető készülékeket is támogat, míg a töltésjelző segít az energiaellátás monitorozásában. 
Egy újratölthető, tartozék 2600 mAh akkumulátor biztosítja az energiát, és az összecsukott méret (15,1 x ∅10,3 cm) kiválóan hordozhatóvá teszi.
Ne hagyja ki ezt a sokoldalú eszközt, a NEBO BIG POPPY-val mindig tökéletes fényviszonyok várnak Önre, bárhol is jár!</t>
        </is>
      </c>
    </row>
    <row r="1157">
      <c r="A1157" s="3" t="inlineStr">
        <is>
          <t>NEB-LTN-0004-G</t>
        </is>
      </c>
      <c r="B1157" s="2" t="inlineStr">
        <is>
          <t>NEBO NEB-LTN-0004-G Galileo 1000 Flex, Lámpás, 1000lm - 100 lm, 15 lm - 2 lm piros fény, 3 + 2 üzemmód, 2600 mAh</t>
        </is>
      </c>
      <c r="C1157" s="1" t="n">
        <v>19890.0</v>
      </c>
      <c r="D1157" s="7" t="n">
        <f>HYPERLINK("https://www.somogyi.hu/product/nebo-neb-ltn-0004-g-galileo-1000-flex-lampas-1000lm-100-lm-15-lm-2-lm-piros-feny-3-2-uzemmod-2600-mah-neb-ltn-0004-g-17407","https://www.somogyi.hu/product/nebo-neb-ltn-0004-g-galileo-1000-flex-lampas-1000lm-100-lm-15-lm-2-lm-piros-feny-3-2-uzemmod-2600-mah-neb-ltn-0004-g-17407")</f>
        <v>0.0</v>
      </c>
      <c r="E1157" s="7" t="n">
        <f>HYPERLINK("https://www.somogyi.hu/data/img/product_main_images/small/17407.jpg","https://www.somogyi.hu/data/img/product_main_images/small/17407.jpg")</f>
        <v>0.0</v>
      </c>
      <c r="F1157" s="2" t="inlineStr">
        <is>
          <t>5060063228402</t>
        </is>
      </c>
      <c r="G1157" s="4" t="inlineStr">
        <is>
          <t>Ön is gyakran találkozik azzal a kihívással, hogy sötétben vagy rossz fényviszonyok között dolgozik vagy kapcsolódik ki? 
A NEBO GALILEO 1000 FLEX a tökéletes megoldás, hiszen erőteljes 1000 lumenes világítási teljesítménye mellett Power Bank (pl. mobiltelefon töltés) funkciót is kínál. 
A lámpa ellenálló ABS műanyagból készült és a is pornak ellenáll, míg az IPX4 vízállósági besorolása biztosítja, hogy az időjárási körülmények ne befolyásolják a használatát.
A Flex Power technológiával és Direct-to-Red funkcióval rendelkezik, így a felhasználók könnyen váltogathatnak a különböző fényerők és fénytípusok között. 
Az 1000 lumenes nagy fényerő 360 fokban világít, de ha csak egy irányba van szükség fényre, akkor a 120 fokos, 300 lumenes közepes fényerő is kiváló. 
Az energiaellátásról egy 2600 mAh kapacitású, tartozékként szállított akkumulátor gondoskodik, de alternatívája is van 6 db D (góliát) elem. 
Mindezt meglepően kompakt méretben, a lámpa dimenziói csupán 26 x 13,5 x 13,5 cm.
Ne maradjon sötétben, szerezze be az NEBO GALILEO 1000 FLEX lámpát, és élvezze az erőteljes, sokoldalú világítást és az extra Power Bank funkciót egyetlen eszközben!</t>
        </is>
      </c>
    </row>
    <row r="1158">
      <c r="A1158" s="3" t="inlineStr">
        <is>
          <t>NEB-POC-0008-G</t>
        </is>
      </c>
      <c r="B1158" s="2" t="inlineStr">
        <is>
          <t>NEBO NEB-POC-0008-G Columbo 250 Flex zseblámpa, 250 lm - 30 lm, Flex Power, 3 üzemmód, 4x zoom, IP67, 750 mAh</t>
        </is>
      </c>
      <c r="C1158" s="1" t="n">
        <v>11590.0</v>
      </c>
      <c r="D1158" s="7" t="n">
        <f>HYPERLINK("https://www.somogyi.hu/product/nebo-neb-poc-0008-g-columbo-250-flex-zseblampa-250-lm-30-lm-flex-power-3-uzemmod-4x-zoom-ip67-750-mah-neb-poc-0008-g-17399","https://www.somogyi.hu/product/nebo-neb-poc-0008-g-columbo-250-flex-zseblampa-250-lm-30-lm-flex-power-3-uzemmod-4x-zoom-ip67-750-mah-neb-poc-0008-g-17399")</f>
        <v>0.0</v>
      </c>
      <c r="E1158" s="7" t="n">
        <f>HYPERLINK("https://www.somogyi.hu/data/img/product_main_images/small/17399.jpg","https://www.somogyi.hu/data/img/product_main_images/small/17399.jpg")</f>
        <v>0.0</v>
      </c>
      <c r="F1158" s="2" t="inlineStr">
        <is>
          <t>5060063228327</t>
        </is>
      </c>
      <c r="G1158" s="4" t="inlineStr">
        <is>
          <t>Mi lenne, ha egy zseblámpa nem csak világítana, hanem egyedi, kifinomult technológiával is rendelkezne? 
A NEBO COLUMBO 250 FLEX zseblámpa tökéletes választás azok számára, akik a megbízhatóság és az innováció tökéletes kombinációját keresik. 
Az eszköz eloxált, repülőipari minőségű alumínium házat kapott, ami nemcsak az esztétikai megjelenést, de a tartósságot is növeli. 
Az IP67-es vízállósági besorolás és az ütésállóság gondoskodnak arról, hogy még a legkeményebb körülmények között is megbízható legyen.
A 4x-es zoom funkcióval a fénykéve jobban irányítható, így minden helyzethez igazítható. Flex-Power™ technológia lehetővé teszi, hogy az eszköz két féle tápellátási módot is támogat: egy 750 mAh újratölthető akkumulátorral (tartozék), melynek nagy fényerővel (250 lm), kis fényerővel (75 lm) és villogó üzemmóddal (250 lm) is rendelkezik; vagy 2 x 1,5 V AAA elemmel (nem tartozék), ami nagy (100 lm) és kis (30 lm) fényerővel, valamint villogó üzemmóddal (100 lm) is használható. 
Minden ezek mellett, a lámpa mérete mindössze 16,2 x ∅2 cm, így praktikus társ az aktív életmódot folytatóknak.
Fedezze fel a NEBO COLUMBO 250 FLEX zseblámpa kivételes funkcióit, és élvezze a világítástechnika új generációját!</t>
        </is>
      </c>
    </row>
    <row r="1159">
      <c r="A1159" s="3" t="inlineStr">
        <is>
          <t>NEB-FLT-0014-G</t>
        </is>
      </c>
      <c r="B1159" s="2" t="inlineStr">
        <is>
          <t>NEBO NEB-FLT-0014-G Newton 500 zseblámpa, 500 lm - 30 lm, 4 funkció, IP67, 4x zoom</t>
        </is>
      </c>
      <c r="C1159" s="1" t="n">
        <v>10390.0</v>
      </c>
      <c r="D1159" s="7" t="n">
        <f>HYPERLINK("https://www.somogyi.hu/product/nebo-neb-flt-0014-g-newton-500-zseblampa-500-lm-30-lm-4-funkcio-ip67-4x-zoom-neb-flt-0014-g-17394","https://www.somogyi.hu/product/nebo-neb-flt-0014-g-newton-500-zseblampa-500-lm-30-lm-4-funkcio-ip67-4x-zoom-neb-flt-0014-g-17394")</f>
        <v>0.0</v>
      </c>
      <c r="E1159" s="7" t="n">
        <f>HYPERLINK("https://www.somogyi.hu/data/img/product_main_images/small/17394.jpg","https://www.somogyi.hu/data/img/product_main_images/small/17394.jpg")</f>
        <v>0.0</v>
      </c>
      <c r="F1159" s="2" t="inlineStr">
        <is>
          <t>5060063228259</t>
        </is>
      </c>
      <c r="G1159" s="4" t="inlineStr">
        <is>
          <t>Mit tud a NEBO NEWTON 500 zseblámpa? Ismerje meg!
Ha fényre van szüksége a sötétben, akkor ez a zseblámpa Önnek való. 
Az 500 lumen fényerővel és 4x-es zoommal a NEWTON 500 minden helyzetben megbízható társ lesz.
Az eloxált, repülőipari minőségű alumínium háza ellenáll a víznek és pornak (IP67 minősítésű), így szinte bármilyen körülmények között használhatja. 
Nagy (500 lm), közepes (300 lm) és kis fényerő (30 lm) között váltogathat, attól függően, hogy mire van éppen szüksége. A villogó üzemmód pedig segítségére lehet veszélyhelyzetekben.
A NEWTON 500 zseblámpa 3 darab 1,5 V (AAA) elemmel működik, amelyeket a csomag tartalmaz. A zseblámpa kompakt méretének (összetolva 13,3 x ∅3,4 cm) köszönhetően könnyen magával viheti, így mindig kéznél lesz a szükséges fényforrás.
Ne hagyja, hogy a sötétség meglepje! Szerezze be most a NEBO NEWTON 500 zseblámpát, és legyen felkészülve minden helyzetre!</t>
        </is>
      </c>
    </row>
    <row r="1160">
      <c r="A1160" s="3" t="inlineStr">
        <is>
          <t>NEB-HLP-0007-G</t>
        </is>
      </c>
      <c r="B1160" s="2" t="inlineStr">
        <is>
          <t>NEBO NEB-HLP-0007-G Einstein 1000 Flex, 1000 lm - 5 lm, IPX4, 2200 mAh, Flex Power</t>
        </is>
      </c>
      <c r="C1160" s="1" t="n">
        <v>19290.0</v>
      </c>
      <c r="D1160" s="7" t="n">
        <f>HYPERLINK("https://www.somogyi.hu/product/nebo-neb-hlp-0007-g-einstein-1000-flex-1000-lm-5-lm-ipx4-2200-mah-flex-power-neb-hlp-0007-g-17403","https://www.somogyi.hu/product/nebo-neb-hlp-0007-g-einstein-1000-flex-1000-lm-5-lm-ipx4-2200-mah-flex-power-neb-hlp-0007-g-17403")</f>
        <v>0.0</v>
      </c>
      <c r="E1160" s="7" t="n">
        <f>HYPERLINK("https://www.somogyi.hu/data/img/product_main_images/small/17403.jpg","https://www.somogyi.hu/data/img/product_main_images/small/17403.jpg")</f>
        <v>0.0</v>
      </c>
      <c r="F1160" s="2" t="inlineStr">
        <is>
          <t>5060063228372</t>
        </is>
      </c>
      <c r="G1160" s="4" t="inlineStr">
        <is>
          <t>Szüksége van egy fejlámpára, amely nem csak megvilágítja az utat, de hosszú üzemidővel is bír? 
Az új NEBO EINSTEIN 1000 FLEX minden igényét kielégítheti. 
Ezzel a kompakt és könnyű eszközzel nem csak a sötétséget győzheti le, hanem az időt is. 
Ellenálló ABS és alumínium kialakítása révén a fejlámpa rendkívül tartós, és vízálló (IPX4) jellemzői miatt bátran használható szabadtéren is.
A Flex Power technológia és a turbó üzemmód lehetővé teszi az energiaszükségletekhez való gyors alkalmazkodást. 
Öt különböző fényerő áll rendelkezésre: turbó (1000 lm), nagy fényerő (350 lm), közepes fényerő (150 lm), kis fényerő (10 lm) és piros fény (5 lm) - mindezt egy erős 2200 mAh akkumulátorral, amely hosszú üzemidőt garantál. 
A termék méretei fejpánt nélkül: 12,7 x 5,08 x 7,62 cm, ami kompakt és könnyen hordozható méretet jelent.
Ne maradjon le a NEBO EINSTEIN 1000 FLEX előnyeiről, és élvezze a maximális teljesítményt és rugalmasságot! Válassza a minőséget és az innovációt, hogy a sötétség soha többé ne álljon útjába!</t>
        </is>
      </c>
    </row>
    <row r="1161">
      <c r="A1161" s="3" t="inlineStr">
        <is>
          <t>NEB-HLP-0008-G</t>
        </is>
      </c>
      <c r="B1161" s="2" t="inlineStr">
        <is>
          <t>NEBO NEB-HLP-0008-G Einstein 1500 Flex, 1500 lm - 5 lm, IPX4, 2200 mAh, Flex Power</t>
        </is>
      </c>
      <c r="C1161" s="1" t="n">
        <v>24990.0</v>
      </c>
      <c r="D1161" s="7" t="n">
        <f>HYPERLINK("https://www.somogyi.hu/product/nebo-neb-hlp-0008-g-einstein-1500-flex-1500-lm-5-lm-ipx4-2200-mah-flex-power-neb-hlp-0008-g-17402","https://www.somogyi.hu/product/nebo-neb-hlp-0008-g-einstein-1500-flex-1500-lm-5-lm-ipx4-2200-mah-flex-power-neb-hlp-0008-g-17402")</f>
        <v>0.0</v>
      </c>
      <c r="E1161" s="7" t="n">
        <f>HYPERLINK("https://www.somogyi.hu/data/img/product_main_images/small/17402.jpg","https://www.somogyi.hu/data/img/product_main_images/small/17402.jpg")</f>
        <v>0.0</v>
      </c>
      <c r="F1161" s="2" t="inlineStr">
        <is>
          <t>5060063228389</t>
        </is>
      </c>
      <c r="G1161" s="4" t="inlineStr">
        <is>
          <t>Mi a legjobb választás, ha egy rendkívül erős, mégis könnyű fejlámpát keres? 
Ismerje meg a NEBO EINSTEIN 1500 FLEX-et, mely 1500 lumen fényerővel nem hagyja cserben! 
Kompakt és könnyű kialakításának köszönhetően ideális társ minden körülmények között, míg ellenálló ABS műanyagból készült háza és vízálló (IPX4) jellemzői az eszköz megbízhatóságát és tartósságát garantálják.
A Flex Power technológia révén a fejlámpa alkalmazkodik az Ön energiaszükségleteihez. 
A turbó üzemmód segítségével akár 1500 lumen fényerő is elérhető, de választhat kisebb fényerők közül is: nagy (750 lm), közepes (250 lm), kis (10 lm) és még piros fény (5 lm) is rendelkezésre áll. 
A beépített 2200 mAh akkumulátor hosszú üzemidőt biztosít. 
Mindezt egy elegáns, fejpánt nélküli méretben kínálja, ami mindössze 12,7 x 5,08 x 7,62 cm.
Fedezze fel a NEBO EINSTEIN 1500 FLEX sokoldalúságát és élvezze kivételes világítást! Ne éljen kompromisszumokkal, válassza a prémium minőséget és az intelligens megoldásokat!</t>
        </is>
      </c>
    </row>
    <row r="1162">
      <c r="A1162" s="3" t="inlineStr">
        <is>
          <t>NEB-POC-0007-G</t>
        </is>
      </c>
      <c r="B1162" s="2" t="inlineStr">
        <is>
          <t>NEBO NEB-POC-0007-G Columbo 150 zseblámpa, 150 lm - 45 lm, IP67, 4x zoom, acél zsebcsipesz</t>
        </is>
      </c>
      <c r="C1162" s="1" t="n">
        <v>6290.0</v>
      </c>
      <c r="D1162" s="7" t="n">
        <f>HYPERLINK("https://www.somogyi.hu/product/nebo-neb-poc-0007-g-columbo-150-zseblampa-150-lm-45-lm-ip67-4x-zoom-acel-zsebcsipesz-neb-poc-0007-g-17400","https://www.somogyi.hu/product/nebo-neb-poc-0007-g-columbo-150-zseblampa-150-lm-45-lm-ip67-4x-zoom-acel-zsebcsipesz-neb-poc-0007-g-17400")</f>
        <v>0.0</v>
      </c>
      <c r="E1162" s="7" t="n">
        <f>HYPERLINK("https://www.somogyi.hu/data/img/product_main_images/small/17400.jpg","https://www.somogyi.hu/data/img/product_main_images/small/17400.jpg")</f>
        <v>0.0</v>
      </c>
      <c r="F1162" s="2" t="inlineStr">
        <is>
          <t>5060063228310</t>
        </is>
      </c>
      <c r="G1162" s="4" t="inlineStr">
        <is>
          <t>Vajon létezik olyan zseblámpa, amely könnyen hordozható, mégis sokoldalú és strapabíró? 
Az új NEBO COLUMBO 150 zseblámpa nem csupán ezen igényeknek felel meg, hanem sok más extrával is rendelkezik, ami felülmúlja a hagyományos modelleket. 
Kialakítása eloxált, repülőipari minőségű alumíniumból történt, amely nem csak rendkívül tartós, de elegáns is. 
Az IP67-es besorolású vízállóság és ütésállóság biztosítja, hogy még a legkeményebb körülmények között is teljesítményt nyújt.
A 4x-es zoom funkciónak köszönhetően a fényerő finoman szabályozható, a helyzet igényeinek megfelelően. 
Az acél zsebcsipesznek hála, a lámpa könnyedén rögzíthető övre vagy zsebre. 
A NEBO COLUMBO 150 három különböző fényerősséggel rendelkezik: nagy fényerő (150 lm), kis fényerő (45 lm), és villogó üzemmód (150 lm). 
Tápellátásáról 2 x 1,5 V AAA elem gondoskodik, amely a csomagban már tartozék is. 
Mindezt kompakt méretben kínálja, a lámpa mérete csupán 15,04 x 2,03 x 1,81 cm.
Ismerje meg a NEBO COLUMBO 150 zseblámpát, és élvezze a kivételes teljesítményt és megbízhatóságot egy kompakt, elegáns csomagban!</t>
        </is>
      </c>
    </row>
    <row r="1163">
      <c r="A1163" s="3" t="inlineStr">
        <is>
          <t>NEB-WLT-1007-G</t>
        </is>
      </c>
      <c r="B1163" s="2" t="inlineStr">
        <is>
          <t>NEBO NEB-WLT-1007-G SLIM 1200 zseblámpa, 1200-30 lumen, újratölthető, power bank funkció, eloxált alumínium, IPX7</t>
        </is>
      </c>
      <c r="C1163" s="1" t="n">
        <v>17290.0</v>
      </c>
      <c r="D1163" s="7" t="n">
        <f>HYPERLINK("https://www.somogyi.hu/product/nebo-neb-wlt-1007-g-slim-1200-zseblampa-1200-30-lumen-ujratoltheto-power-bank-funkcio-eloxalt-aluminium-ipx7-neb-wlt-1007-g-18387","https://www.somogyi.hu/product/nebo-neb-wlt-1007-g-slim-1200-zseblampa-1200-30-lumen-ujratoltheto-power-bank-funkcio-eloxalt-aluminium-ipx7-neb-wlt-1007-g-18387")</f>
        <v>0.0</v>
      </c>
      <c r="E1163" s="7" t="n">
        <f>HYPERLINK("https://www.somogyi.hu/data/img/product_main_images/small/18387.jpg","https://www.somogyi.hu/data/img/product_main_images/small/18387.jpg")</f>
        <v>0.0</v>
      </c>
      <c r="F1163" s="2" t="inlineStr">
        <is>
          <t>5060945230660</t>
        </is>
      </c>
      <c r="G1163" s="4" t="inlineStr">
        <is>
          <t>Szüksége van egy sokoldalú, rendkívül erős zseblámpára, amely még power bankként is funkcionál?
A NEBO NEB-WLT-1007-G SLIM 1200 zseblámpa kiemelkedő teljesítményével és praktikus funkcióival ideális választás azok számára, akik strapabíró, mégis kompakt eszközt keresnek. A 1200 lumenes maximális fényerő és a többféle üzemmód lehetővé teszi, hogy bármilyen helyzetben megfelelő világítást biztosítson, míg a beépített power bank funkcióval akár más eszközöket is feltölthet, ha szükséges.
Kiváló fényerő és többféle üzemmód minden helyzethez
A SLIM 1200 zseblámpa különböző üzemmódokkal rendelkezik, így mindig az adott feladathoz igazíthatja a fényerőt:
- Turbó üzemmód (1200 lumen): Intenzív megvilágítás, amely 30 másodpercig biztosítja a maximális fényerőt, akár 52 méteres hatótávval.
- Magas fényerő (700 lumen): 1,75 órás üzemidőt kínál, és 41 méteres távolságig világít – ideális kültéri tevékenységekhez.
- Közepes fényerő (350 lumen): 3 órás üzemidőt nyújt, 29 méteres hatótávolsággal, így kiváló választás hosszabb használat esetén.
- Alacsony fényerő (30 lumen): 12 órás folyamatos működés, amely ideális, ha energiatakarékosan szeretné használni a lámpát.
- Stroboszkóp mód (700 lumen): 2 órán át működik, vészjelzésként vagy figyelemfelkeltésre tökéletes.
- Piros stroboszkóp (8 lumen): 6 órás működési idővel rendelkezik, amely vészhelyzetben kiváló jelzést biztosít.
Strapabíró, időjárásálló kialakítás
A lámpa háza eloxált repülőipari minőségű alumíniumból készült, amely ellenáll a legkeményebb igénybevételnek is. Az IPX7 vízállósági besorolás lehetővé teszi, hogy akár esős vagy nedves környezetben is biztonságosan használja. Az ütésálló kivitel garantálja, hogy a lámpa még durva körülmények között is megbízhatóan működjön.
Beépített power bank funkció
Az 1x 803450 Li-Pol akkumulátor kapacitása 1500 mAh, így nemcsak hosszú üzemidőt biztosít, hanem lehetővé teszi más eszközök töltését is a beépített USB-C töltőaljzaton keresztül. Ez különösen hasznos lehet utazások vagy hosszabb túrák során, amikor nincs lehetőség azonnali hálózati töltésre.
Praktikus és kényelmes használat
A lámpa kialakítását a felhasználói kényelem és a praktikum jegyében tervezték. Az erős mágneses talp lehetővé teszi, hogy fémfelületekre rögzítse, így szabadon használhatja mindkét kezét. Az acél övcsipesz biztosítja, hogy a lámpát mindig könnyen elérhető helyen tarthassa. Az állítható fényerő memóriával rendelkezik, így a legutóbb használt beállítást megjegyzi, és azonnal újra aktiválható.
Miért érdemes a NEBO NEB-WLT-1007-G SLIM 1200 zseblámpát választani?
– 1200 lumenes fényerő, amely sötét környezetben is tökéletes megvilágítást biztosít 
– Többféle üzemmód, amelyek minden helyzetben megfelelő fényt nyújtanak 
– Power bank funkció, amely lehetővé teszi más eszközök töltését 
– Kompakt, könnyű kialakítás, mégis rendkívül strapabíró eloxált alumínium házzal 
– IPX7 vízállóság és ütésállóság, így extrém körülmények között is használható 
– USB-C csatlakozó, amely gyors és kényelmes töltést biztosít 
– Mágneses talp és acél övcsipesz a praktikus rögzítés érdekében
Akár szabadtéri kalandokhoz, akár műhelymunkákhoz keres megbízható fényforrást, a NEBO SLIM 1200 zseblámpa tökéletes választás lesz. Ne maradjon sötétben, válassza ezt a prémium minőségű, multifunkciós lámpát, amely mindig készen áll, amikor szüksége van rá!</t>
        </is>
      </c>
    </row>
    <row r="1164">
      <c r="A1164" s="3" t="inlineStr">
        <is>
          <t>NEB-SPT-1000-G</t>
        </is>
      </c>
      <c r="B1164" s="2" t="inlineStr">
        <is>
          <t>NEBO NEB-SPT-1000-G Luxtreme SL75 keresőlámpa, 780 lm, 1200 m, 3 funkció, IP67, 9000 mAh, 1/4" tripodra szerelhető, övcsipesz, mágneses</t>
        </is>
      </c>
      <c r="C1164" s="1" t="n">
        <v>51990.0</v>
      </c>
      <c r="D1164" s="7" t="n">
        <f>HYPERLINK("https://www.somogyi.hu/product/nebo-neb-spt-1000-g-luxtreme-sl75-keresolampa-780-lm-1200-m-3-funkcio-ip67-9000-mah-1-4-tripodra-szerelheto-ovcsipesz-magneses-neb-spt-1000-g-17822","https://www.somogyi.hu/product/nebo-neb-spt-1000-g-luxtreme-sl75-keresolampa-780-lm-1200-m-3-funkcio-ip67-9000-mah-1-4-tripodra-szerelheto-ovcsipesz-magneses-neb-spt-1000-g-17822")</f>
        <v>0.0</v>
      </c>
      <c r="E1164" s="7" t="n">
        <f>HYPERLINK("https://www.somogyi.hu/data/img/product_main_images/small/17822.jpg","https://www.somogyi.hu/data/img/product_main_images/small/17822.jpg")</f>
        <v>0.0</v>
      </c>
      <c r="F1164" s="2" t="inlineStr">
        <is>
          <t>5060063229355</t>
        </is>
      </c>
      <c r="G1164" s="4" t="inlineStr">
        <is>
          <t>Tudta, hogy létezik olyan elemlámpa, ami szinte minden kihívást könnyedén leküzd? A NEBO LUXTREME SL75 az.
Ez az elemlámpa nem csupán egy egyszerű világítóeszköz, hanem egy igazi túlélő. 
Az eloxált, repülőipari minőségű alumínium ház megvédi a külső behatásoktól, a víz-, és porálló (IP67), valamint ütésálló kialakításnak köszönhetően szinte bármilyen időjárási körülmények között bevetheti.
Az üzemmódválasztó tárcsa segítségével könnyen váltogathat a fényerő között, és a szabványos, 1/4” tripodra való szerelhetőségnek köszönhetően könnyedén rögzítheti bárhol. Az övcsipesz praktikus viseletet biztosít, és az erős mágneses talpnak köszönhetően szinte bármilyen felülethez rögzítheti.
A 9000 mAh akkumulátor hosszú üzemidőt biztosít, a nagy (780 lm), közepes (400 lm), és alacsony (100 lm) fényerő beállítások pedig lehetővé teszik, hogy az adott helyzetnek megfelelően használja. 
A NEBO LUXTREME SL75 mindig és mindenhol Ön mellett áll. Ne hagyja ki ezt a lehetőséget, és tegye kosarába még ma, hogy felfedezhesse, mire képes ez a kivételes elemlámpa!</t>
        </is>
      </c>
    </row>
    <row r="1165">
      <c r="A1165" s="3" t="inlineStr">
        <is>
          <t>NEB-FLT-0021-G</t>
        </is>
      </c>
      <c r="B1165" s="2" t="inlineStr">
        <is>
          <t>NEBO NEB-FLT-0021-G Davinci 3500 zseblámpa, 3500 lm - 70 lm, 4 funkció, IP67, 3x zoom, PowerBank funkció, 4500 mAh</t>
        </is>
      </c>
      <c r="C1165" s="1" t="n">
        <v>34490.0</v>
      </c>
      <c r="D1165" s="7" t="n">
        <f>HYPERLINK("https://www.somogyi.hu/product/nebo-neb-flt-0021-g-davinci-3500-zseblampa-3500-lm-70-lm-4-funkcio-ip67-3x-zoom-powerbank-funkcio-4500-mah-neb-flt-0021-g-17389","https://www.somogyi.hu/product/nebo-neb-flt-0021-g-davinci-3500-zseblampa-3500-lm-70-lm-4-funkcio-ip67-3x-zoom-powerbank-funkcio-4500-mah-neb-flt-0021-g-17389")</f>
        <v>0.0</v>
      </c>
      <c r="E1165" s="7" t="n">
        <f>HYPERLINK("https://www.somogyi.hu/data/img/product_main_images/small/17389.jpg","https://www.somogyi.hu/data/img/product_main_images/small/17389.jpg")</f>
        <v>0.0</v>
      </c>
      <c r="F1165" s="2" t="inlineStr">
        <is>
          <t>5060063228198</t>
        </is>
      </c>
      <c r="G1165" s="4" t="inlineStr">
        <is>
          <t>Mennyire világíthat egy zseblámpa 3500 lumen fényerővel? A NEBO DAVINCI 3500 zseblámpa minden kérdésedre válaszol! 
Ez a kompakt és erős zseblámpa egyaránt megfelel mindennapi használatra és szélsőséges körülmények közötti használatra is.
Az eloxált, repülőipari minőségű alumínium ház megbízható védelmet nyújt a víz és por ellen (IP67 minősítéssel rendelkezik). Az üzemmódválasztó tárcsa segítségével könnyedén állíthatod a fényerőt nagy (3500 lm), közepes (700 lm) és kis (70 lm) között, és akár villogó üzemmódban is használhatod, ha szükséges.
A beépített 4500 mAh akkumulátor hosszú üzemidőt biztosít, és még más eszközöket is tölthetsz vele, hiszen ez a zseblámpa egyben power bank is. A 3x-os zoom lehetővé teszi, hogy pontosan oda irányítsd a fényt, ahova szükséged van.
A DAVINCI 3500 kompakt mérete (20,6 x ∅4,8 cm) lehetővé teszi, hogy könnyen magaddal vidd, és bármikor felhasználhatsz. 
Ne hagyd, hogy a sötétség vagy a rossz időjárás meglepjen! Szerezd be most a NEBO DAVINCI 3500 zseblámpát, és legyél felkészült minden helyzetre!</t>
        </is>
      </c>
    </row>
    <row r="1166">
      <c r="A1166" s="3" t="inlineStr">
        <is>
          <t>NE1041</t>
        </is>
      </c>
      <c r="B1166" s="2" t="inlineStr">
        <is>
          <t>NEBO NE1041 Big Larry 3, zseblámpa és szerelőlámpa, 600 lm - 40 lm, övcsipesz, mágneses, Direct-to-Red</t>
        </is>
      </c>
      <c r="C1166" s="1" t="n">
        <v>10390.0</v>
      </c>
      <c r="D1166" s="7" t="n">
        <f>HYPERLINK("https://www.somogyi.hu/product/nebo-ne1041-big-larry-3-zseblampa-es-szerelolampa-600-lm-40-lm-ovcsipesz-magneses-direct-to-red-ne1041-18390","https://www.somogyi.hu/product/nebo-ne1041-big-larry-3-zseblampa-es-szerelolampa-600-lm-40-lm-ovcsipesz-magneses-direct-to-red-ne1041-18390")</f>
        <v>0.0</v>
      </c>
      <c r="E1166" s="7" t="n">
        <f>HYPERLINK("https://www.somogyi.hu/data/img/product_main_images/small/18390.jpg","https://www.somogyi.hu/data/img/product_main_images/small/18390.jpg")</f>
        <v>0.0</v>
      </c>
      <c r="F1166" s="2" t="inlineStr">
        <is>
          <t>5060945230301</t>
        </is>
      </c>
      <c r="G1166" s="4" t="inlineStr">
        <is>
          <t>Milyen zseblámpa felel meg egyszerre a szerelési munkákhoz, kempingezéshez és vészhelyzetekhez is?
A NEBO NE1041 Big Larry 3 zseblámpa és szerelőlámpa tökéletes választás mindazok számára, akik strapabíró, sokoldalú és nagy teljesítményű világítóeszközt keresnek. Az akár 600 lumen fényerő és a többféle üzemmód lehetővé teszi, hogy mindig a megfelelő világítást használja, legyen szó kültéri tevékenységekről, szerelési munkákról vagy vészhelyzeti jelzésről. Az eloxált repülőipari minőségű alumínium ház garantálja a hosszú élettartamot, miközben a víz- és ütésállóság (IPX4) biztosítja, hogy a lámpa zord körülmények között is megállja a helyét.
Nagy teljesítményű világítás különböző üzemmódokkal
A Big Larry 3 zseblámpa többféle üzemmódot kínál a különböző helyzetekhez igazítva:
- Zseblámpa üzemmód: 220 lumen fényerővel, amely akár 8 órán keresztül működik, és 82 méter távolságotképes bevilágítani.
- Szerelőlámpa üzemmód: 600 lumen maximális fényerőt biztosít, ami 2,5 órás üzemidőt kínál, és 33 méteres területet világít meg, így ideális mindenféle javítási munkához.
- Piros fény üzemmód: 40 lumen fényerővel, amely akár 20 óráig képes működni, és 7 méteres távolságiglátható, kiváló választás éjszakai jelzéshez vagy diszkrét világításhoz.
- Piros stroboszkóp üzemmód: vészhelyzeti jelzéshez, akár 40 órás üzemidővel, 7 méteres távolságon belül.
Strapabíró, prémium anyaghasználat
A lámpa eloxált repülőipari minőségű alumíniumból készült, amely rendkívül ellenállóvá teszi a mechanikai sérülésekkel szemben. Az IPX4 víz- és ütésállósági minősítés biztosítja, hogy a lámpa bírja a fröccsenő vizet, esőt és kisebb ütődéseket is, így kiváló választás kültéri használatra és nehéz körülmények között végzett munkákhoz.
Kényelmes használat és praktikus kialakítás
A Big Larry 3 lámpát úgy tervezték, hogy a lehető legkényelmesebb legyen a mindennapi használat során. Az acél övcsipesz segítségével könnyedén rögzíthető övhöz vagy táskához, míg az erős mágneses talp stabilan megtartja fém felületeken, így szabadon hagyva a kezeit a munkavégzéshez. Az ergonomikus kialakítás és a kompakt 19,5 x 2,5 x 2,5 cm-es méret lehetővé teszi, hogy könnyedén elférjen a kézben vagy a szerszámos ládában.
Energiaellátás és memóriafunkció
A lámpa tápellátását 3 darab AA elem biztosítja (a csomag része), amelyek hosszú üzemidőt garantálnak minden üzemmódban. A beépített memóriafunkció lehetővé teszi, hogy a lámpa megjegyezze az utoljára használt üzemmódot, így gyorsan és egyszerűen visszakapcsolhatja ugyanarra a beállításra.
Miért érdemes a NEBO NE1041 Big Larry 3 zseblámpát választani?
– 600 lumen maximális fényerő szerelőlámpa üzemmódban, ideális precíz munkákhoz 
– Többféle üzemmód, köztük piros fény és stroboszkóp vészhelyzetekre 
– Eloxált repülőipari alumínium ház, amely víz- és ütésálló (IPX4) 
– Acél övcsipesz és erős mágneses talp a kényelmes rögzítéshez 
– 3 darab AA elem a hosszú üzemidő érdekében (a csomag tartalmazza)
 – Kompakt méret és ergonomikus kialakítás, amely kényelmes használatot biztosít
Válassza a NEBO NE1041 Big Larry 3 zseblámpát, ha olyan sokoldalú, nagy teljesítményű világítóeszközt keres, amely minden helyzetben megállja a helyét! Akár otthoni szerelési munkákhoz, akár szabadtéri tevékenységekhez használja, biztos lehet benne, hogy ez a lámpa nem hagyja cserben.</t>
        </is>
      </c>
    </row>
    <row r="1167">
      <c r="A1167" s="3" t="inlineStr">
        <is>
          <t>NE6542</t>
        </is>
      </c>
      <c r="B1167" s="2" t="inlineStr">
        <is>
          <t>NEBO BLAST 1440 LUMEN elemlámpa, 1400 lumen, IPX7, 4X-es zoom, alumínium test</t>
        </is>
      </c>
      <c r="C1167" s="1" t="n">
        <v>8690.0</v>
      </c>
      <c r="D1167" s="7" t="n">
        <f>HYPERLINK("https://www.somogyi.hu/product/nebo-blast-1440-lumen-elemlampa-1400-lumen-ipx7-4x-es-zoom-aluminium-test-ne6542-18126","https://www.somogyi.hu/product/nebo-blast-1440-lumen-elemlampa-1400-lumen-ipx7-4x-es-zoom-aluminium-test-ne6542-18126")</f>
        <v>0.0</v>
      </c>
      <c r="E1167" s="7" t="n">
        <f>HYPERLINK("https://www.somogyi.hu/data/img/product_main_images/small/18126.jpg","https://www.somogyi.hu/data/img/product_main_images/small/18126.jpg")</f>
        <v>0.0</v>
      </c>
      <c r="F1167" s="2" t="inlineStr">
        <is>
          <t>5060063225388</t>
        </is>
      </c>
      <c r="G1167" s="4" t="inlineStr">
        <is>
          <t>Hogyan biztosíthatja a maximális fényerőt bármilyen helyzetben?
A NEBO BLAST 1440 LUMEN elemlámpa egy rendkívül erős és strapabíró világítási megoldás, amely 1400 lumen fényerővel képes bevilágítani akár 260 méteres távolságot is. A vízálló (IPX7) és ütésálló alumíniumháznak köszönhetően kiválóan alkalmas kültéri, ipari és mindennapi használatra is. 4x-es állítható zoom funkciójával könnyedén fókuszálható a fénykúp a távoli megvilágítástól az erős, közeli fényig.
Strapabíró kialakítás és kiemelkedő teljesítmény
A NEBO BLAST elemlámpa eloxált repülőgép-minőségű alumíniumból készült, amely garantálja a hosszú élettartamot és a keményebb körülmények közötti használatot is. IPX7 vízállósági besorolásának köszönhetően akár esőben vagy extrém körülmények között is megbízhatóan működik. A Red Ring® technológia gondoskodik a jobb láthatóságról és az esztétikus megjelenésről.
Állítható fényerő és energiatakarékos üzemmódok
A zseblámpa öt különböző fényerősségű üzemmóddal rendelkezik, így mindig az adott környezethez és igényekhez igazítható:
- Magas (1400 lumen) – akár 2,5 órás üzemidővel, 260 méteres hatótávval
- Közepes (560 lumen) – akár 7 órás üzemidővel, 180 méteres hatótávval
- Alacsony (140 lumen) – akár 30 órás üzemidővel, 90 méteres hatótávval
- Stroboszkóp (1400 lumen) – akár 6 órás üzemidővel, segédfényként vagy vészhelyzetben
- Jelzőfény (200 lumen) – akár 120 órás folyamatos világításra, hosszú üzemidőt igénylő helyzetekben
Praktikus energiaellátás és könnyű használat
A zseblámpa 6 darab AA elemmel működik, amelyek a csomag részét képezik, így azonnal használatra kész. A könnyen kezelhető gombok biztosítják az egyszerű üzemmódkapcsolást, a masszív markolat pedig stabil fogást biztosít, még nedves vagy kesztyűs kézben is.
Kompakt és kényelmes méret
A 4,7 cm átmérőjű és 18,5 cm hosszúságú zseblámpa mérete optimális, hogy könnyen hordozható legyen, ugyanakkor elég nagy ahhoz, hogy erőteljes fényt biztosítson. 431 g tömegével masszív, mégis kényelmesen használható.
Miért érdemes a NEBO BLAST 1440 LUMEN elemlámpát választani?
- 1400 lumen fényerő, amely akár 260 méterig is bevilágít
- IPX7 vízállóság és ütésálló alumínium ház a kültéri és ipari használathoz
- 4x-es állítható zoom a fókuszálható fénykúp érdekében
- Öt különböző világítási üzemmód, a hosszú üzemidő és energiatakarékosság érdekében
- Red Ring® technológia a jobb láthatóságért és modern designért
- 6 db AA elemmel működik, amelyek tartozékként járnak a termékhez
Ne hagyja, hogy a sötétség korlátozza tevékenységeit! A NEBO BLAST 1440 LUMEN elemlámpa tökéletes választás túrázáshoz, munkavégzéshez vagy vészhelyzetekhez, biztosítva a maximális fényerőt és megbízhatóságot minden helyzetben!</t>
        </is>
      </c>
    </row>
    <row r="1168">
      <c r="A1168" s="3" t="inlineStr">
        <is>
          <t>NB6557</t>
        </is>
      </c>
      <c r="B1168" s="2" t="inlineStr">
        <is>
          <t>NEBO NB6557 POPLITE zseblámpa, 8x-os zoom, alumínium test, víz- és ütésálló, mágneses és karabineres rögzítés, 45g</t>
        </is>
      </c>
      <c r="C1168" s="1" t="n">
        <v>1990.0</v>
      </c>
      <c r="D1168" s="7" t="n">
        <f>HYPERLINK("https://www.somogyi.hu/product/nebo-nb6557-poplite-zseblampa-8x-os-zoom-aluminium-test-viz-es-utesallo-magneses-es-karabineres-rogzites-45g-nb6557-18117","https://www.somogyi.hu/product/nebo-nb6557-poplite-zseblampa-8x-os-zoom-aluminium-test-viz-es-utesallo-magneses-es-karabineres-rogzites-45g-nb6557-18117")</f>
        <v>0.0</v>
      </c>
      <c r="E1168" s="7" t="n">
        <f>HYPERLINK("https://www.somogyi.hu/data/img/product_main_images/small/18117.jpg","https://www.somogyi.hu/data/img/product_main_images/small/18117.jpg")</f>
        <v>0.0</v>
      </c>
      <c r="F1168" s="2" t="inlineStr">
        <is>
          <t>5060063225845</t>
        </is>
      </c>
      <c r="G1168" s="4" t="inlineStr">
        <is>
          <t>Hogyan biztosíthat erős fényt és maximális rugalmasságot egyetlen zseblámpával?
A NEBO NB6557 POPLITE zseblámpa egy kompakt, mégis rendkívül sokoldalú világítási megoldás, amelyet úgy terveztek, hogy mindig kéznél legyen. Kis méretének köszönhetően könnyedén elfér a zsebben, kulcstartón vagy hátizsákon, miközben 8x-os állítható zoomja és többfunkciós világítási módjai biztosítják, hogy bármilyen helyzetben megbízható fényforrásként szolgáljon. Az erős mágneses talp és a karabineres rögzítés lehetővé teszi, hogy kényelmesen rögzíthető legyen szerszámosládához, sátorhoz vagy akár fémfelületekre is.
Rugalmas világítási lehetőségek minden helyzetben
A POPLITE zseblámpa három különböző világítási módot kínál, amelyek segítségével mindig az adott feladathoz igazítható a fényerő és a megvilágítás szöge:
- Spotlámpa – fókuszált, erőteljes fény, amely távolabbra világít
- Fényvető – szélesebb szórású fény a nagyobb terület megvilágításához
- Lámpás mód – egyenletes fénykibocsátás sátorban, autóban vagy akár kempingezés során
Masszív és strapabíró kivitel kültéri használatra
A repülőgép-minőségű eloxált alumínium ház rendkívül ellenálló a külső hatásokkal szemben, így a zseblámpa ütésálló és vízálló is, így extrém körülmények között is megbízható társ lehet. Legyen szó kirándulásról, munkáról vagy vészhelyzetről, a NEBO NB6557 POPLITE mindig készen áll a feladatra.
Kompakt méret, praktikus rögzítési lehetőségek
A mindössze 45 g súlyú és 6,4 cm-es összecsukott méretű zseblámpa kinyújtva is csak 9,3 cm hosszú, így rendkívül könnyen hordozható. A karabineres rögzítésnek köszönhetően gyorsan és biztonságosan csatlakoztatható kulcstartóhoz, táskához vagy övhöz, míg a mágneses talp lehetővé teszi, hogy fémfelületekre tapassza, így szabadon használhatja a kezét munka közben.
Energiatakarékos és azonnal használható
A zseblámpa 3 db LR44 elemmel működik, amelyeket a csomag tartalmaz, így azonnal üzembe helyezhető. Az alacsony energiafogyasztásnak köszönhetően hosszabb ideig biztosítja a megfelelő fényerőt anélkül, hogy gyakran kellene elemet cserélni.
Miért érdemes a NEBO NB6557 POPLITE zseblámpát választani?
- 3 különböző világítási mód: spotlámpa, fényvető és lámpás
- 8x állítható zoom, amely lehetővé teszi a fókuszált vagy szélesebb megvilágítást
- Repülőgép-minőségű eloxált alumínium ház, amely víz- és ütésálló
- Kompakt, könnyen hordozható méret (6,4 cm összecsukva, 9,3 cm kihúzva)
- Mindössze 45 g súly, így kényelmesen hordozható
- Erős mágneses talp és karabineres rögzítés a praktikus használat érdekében
- 3 db LR44 elem tartozék, így azonnal használható
Legyen mindig kéznél egy megbízható fényforrás! A NEBO NB6557 POPLITE zseblámpa tökéletes társ a hétköznapokban, kirándulásokon vagy akár vészhelyzetekben – kis méret, nagy teljesítmény, maximális megbízhatóság!</t>
        </is>
      </c>
    </row>
    <row r="1169">
      <c r="A1169" s="3" t="inlineStr">
        <is>
          <t>NEB-SPT-1003-G</t>
        </is>
      </c>
      <c r="B1169" s="2" t="inlineStr">
        <is>
          <t>NEBO NEB-SPT-1003-G Luxtreme SL50 keresőlámpa, 450 lm, 900 m, 3 funkció, IP67, 9000 mAh, 1/4" tripodra szerelhető, övcsipesz, mágneses</t>
        </is>
      </c>
      <c r="C1169" s="1" t="n">
        <v>36490.0</v>
      </c>
      <c r="D1169" s="7" t="n">
        <f>HYPERLINK("https://www.somogyi.hu/product/nebo-neb-spt-1003-g-luxtreme-sl50-keresolampa-450-lm-900-m-3-funkcio-ip67-9000-mah-1-4-tripodra-szerelheto-ovcsipesz-magneses-neb-spt-1003-g-17823","https://www.somogyi.hu/product/nebo-neb-spt-1003-g-luxtreme-sl50-keresolampa-450-lm-900-m-3-funkcio-ip67-9000-mah-1-4-tripodra-szerelheto-ovcsipesz-magneses-neb-spt-1003-g-17823")</f>
        <v>0.0</v>
      </c>
      <c r="E1169" s="7" t="n">
        <f>HYPERLINK("https://www.somogyi.hu/data/img/product_main_images/small/17823.jpg","https://www.somogyi.hu/data/img/product_main_images/small/17823.jpg")</f>
        <v>0.0</v>
      </c>
      <c r="F1169" s="2" t="inlineStr">
        <is>
          <t>5060063229294</t>
        </is>
      </c>
      <c r="G1169" s="4" t="inlineStr">
        <is>
          <t>Tudta, hogy létezik olyan elemlámpa, ami szinte minden kihívást könnyedén leküzd? A NEBO LUXTREME SL50 az.
Ez az elemlámpa nem csupán egy egyszerű világítóeszköz, hanem egy igazi túlélő. 
Az eloxált, repülőipari minőségű alumínium ház megvédi a külső behatásoktól, a víz-, és porálló (IP67), valamint ütésálló kialakításnak köszönhetően szinte bármilyen időjárási körülmények között bevetheti.
Az üzemmódválasztó tárcsa segítségével könnyen váltogathat a fényerő között, és a szabványos, 1/4” tripodra való szerelhetőségnek köszönhetően könnyedén rögzítheti bárhol. Az övcsipesz praktikus viseletet biztosít, és az erős mágneses talpnak köszönhetően szinte bármilyen felülethez rögzítheti.
A 9000 mAh akkumulátor hosszú üzemidőt biztosít, a nagy (450 lm), közepes (250 lm), és alacsony (50 lm) fényerő beállítások pedig lehetővé teszik, hogy az adott helyzetnek megfelelően használja. 
A NEBO LUXTREME SL50 mindig és mindenhol Ön mellett áll. Ne hagyja ki ezt a lehetőséget, és tegye kosarába még ma, hogy felfedezhesse, mire képes ez a kivételes elemlámpa!</t>
        </is>
      </c>
    </row>
    <row r="1170">
      <c r="A1170" s="3" t="inlineStr">
        <is>
          <t>NEB-WLT-1003 -G</t>
        </is>
      </c>
      <c r="B1170" s="2" t="inlineStr">
        <is>
          <t>NEBO NEB-WLT-1003-G Slyde King K zseblámpa, 2000 lm - 4 lm, 6 funkció, 4x zoom, IP67, 2000 mAh, mágneses</t>
        </is>
      </c>
      <c r="C1170" s="1" t="n">
        <v>20890.0</v>
      </c>
      <c r="D1170" s="7" t="n">
        <f>HYPERLINK("https://www.somogyi.hu/product/nebo-neb-wlt-1003-g-slyde-king-k-zseblampa-2000-lm-4-lm-6-funkcio-4x-zoom-ip67-2000-mah-magneses-neb-wlt-1003-g-17415","https://www.somogyi.hu/product/nebo-neb-wlt-1003-g-slyde-king-k-zseblampa-2000-lm-4-lm-6-funkcio-4x-zoom-ip67-2000-mah-magneses-neb-wlt-1003-g-17415")</f>
        <v>0.0</v>
      </c>
      <c r="E1170" s="7" t="n">
        <f>HYPERLINK("https://www.somogyi.hu/data/img/product_main_images/small/17415.jpg","https://www.somogyi.hu/data/img/product_main_images/small/17415.jpg")</f>
        <v>0.0</v>
      </c>
      <c r="F1170" s="2" t="inlineStr">
        <is>
          <t>5060063228600</t>
        </is>
      </c>
      <c r="G1170" s="4" t="inlineStr">
        <is>
          <t>Szüksége van egy zseblámpára, amely szinte mindent megvilágít? A NEBO SLYDE KING K itt van, hogy megoldja a problémáit! 
Ez a 2000 lumen fényerejű zseblámpa mindent tud, amire csak szüksége lehet.
Az eloxált, repülőipari minőségű alumínium test kiváló minőségű és tartós. A gumírozott markolat kényelmes és biztos fogást eredményez. 
Az IP67 vízállóságnak és az ütésálló kialakításnak köszönhetően bátran használhatja esős időben vagy nehezebb körülmények között is.
A NEBO SLYDE KING K zseblámpa erős mágneses talppal rendelkezik, amely lehetővé teszi, hogy a lámpát a fémtárgyakhoz rögzítse, így mindkét keze szabad maradhat. A 4x-es zoom segítségével beállíthatja a megfelelő fókuszt a munkához vagy környezet megvilágításához.
Ez a zseblámpa nemcsak erős, hanem sokoldalú is. Nagy és kis fényerővel rendelkező zseblámpaként, valamint szerelőlámpaként is használhatja. A piros fény üzemmód pedig kiválóan alkalmas éjszakai tevékenységhez.
A 2000 mAh akkumulátor hosszú üzemidőt biztosít, és könnyedén újratölthető. A zseblámpa mérete összetolva kompakt és könnyen hordozható (19,5 x ∅4,12 cm).
Ne hagyja, hogy a sötétség megakadályozza munkáját és kalandjait. Szerezze be a NEBO SLYDE KING K zseblámpát, és vegye kézbe az irányítást a sötétség felett!</t>
        </is>
      </c>
    </row>
    <row r="1171">
      <c r="A1171" s="3" t="inlineStr">
        <is>
          <t>NEB-HLP-0006-G</t>
        </is>
      </c>
      <c r="B1171" s="2" t="inlineStr">
        <is>
          <t>NEBO NEB-HLP-0006-G Einstein 500, 500 lm - 5 lm, IPX4, turbó üzemmód</t>
        </is>
      </c>
      <c r="C1171" s="1" t="n">
        <v>9790.0</v>
      </c>
      <c r="D1171" s="7" t="n">
        <f>HYPERLINK("https://www.somogyi.hu/product/nebo-neb-hlp-0006-g-einstein-500-500-lm-5-lm-ipx4-turbo-uzemmod-neb-hlp-0006-g-17404","https://www.somogyi.hu/product/nebo-neb-hlp-0006-g-einstein-500-500-lm-5-lm-ipx4-turbo-uzemmod-neb-hlp-0006-g-17404")</f>
        <v>0.0</v>
      </c>
      <c r="E1171" s="7" t="n">
        <f>HYPERLINK("https://www.somogyi.hu/data/img/product_main_images/small/17404.jpg","https://www.somogyi.hu/data/img/product_main_images/small/17404.jpg")</f>
        <v>0.0</v>
      </c>
      <c r="F1171" s="2" t="inlineStr">
        <is>
          <t>5060063228358</t>
        </is>
      </c>
      <c r="G1171" s="4" t="inlineStr">
        <is>
          <t>Keres egy fejlámpát, amely kicsi, de erős, és a legkeményebb körülmények között is megállja a helyét? 
Az új NEBO EINSTEIN 500 fejlámpa szinte minden feltételnek megfelel. 
Ellenálló ABS és alumínium anyaga, valamint vízálló (IPX4) tulajdonsága okán, ez a fejlámpa nem csak strapabíró, de az időjárás viszontagságait is könnyedén túléli.
Különböző fényerő-beállításokkal rendelkezik, köztük egy turbó üzemmóddal, amely akár 500 lumen fényerőt is képes biztosítani. 
További beállítási lehetőségek: nagy fényerő (150 lm), közepes fényerő (50 lm), kis fényerő (5 lm), valamint egy külön piros fény (5 lm) funkció, amely ideális éjszakai használatra vagy vészhelyzetekben. 
A 3 x 1,5 V AAA elemeket tartozékként mellékeljük, így azonnal használatba veheti új eszközét. 
Mérete fejpánt nélkül 10,2 x 3,9 x 6,1 cm, tehát kompakt méretének köszönhetően bárhová magával viheti.
Ne hagyja ki ezt a rendkívüli ajánlatot! A NEBO EINSTEIN 500 az a fejlámpa, amely minden körülmények között megbízható és hatékony. Rendelje meg most, és tapasztalja meg a világítási lehetőségek új dimenzióját!</t>
        </is>
      </c>
    </row>
    <row r="1172">
      <c r="A1172" s="3" t="inlineStr">
        <is>
          <t>NEB-FLT-0022-G</t>
        </is>
      </c>
      <c r="B1172" s="2" t="inlineStr">
        <is>
          <t>NEBO NEB-FLT-0022-G Davinci 5000 zseblámpa, 5000 lm - 100 lm, 4 funkció, IP67, 3x zoom, PowerBank funkció, 4500 mAh</t>
        </is>
      </c>
      <c r="C1172" s="1" t="n">
        <v>38690.0</v>
      </c>
      <c r="D1172" s="7" t="n">
        <f>HYPERLINK("https://www.somogyi.hu/product/nebo-neb-flt-0022-g-davinci-5000-zseblampa-5000-lm-100-lm-4-funkcio-ip67-3x-zoom-powerbank-funkcio-4500-mah-neb-flt-0022-g-17388","https://www.somogyi.hu/product/nebo-neb-flt-0022-g-davinci-5000-zseblampa-5000-lm-100-lm-4-funkcio-ip67-3x-zoom-powerbank-funkcio-4500-mah-neb-flt-0022-g-17388")</f>
        <v>0.0</v>
      </c>
      <c r="E1172" s="7" t="n">
        <f>HYPERLINK("https://www.somogyi.hu/data/img/product_main_images/small/17388.jpg","https://www.somogyi.hu/data/img/product_main_images/small/17388.jpg")</f>
        <v>0.0</v>
      </c>
      <c r="F1172" s="2" t="inlineStr">
        <is>
          <t>5060063228181</t>
        </is>
      </c>
      <c r="G1172" s="4" t="inlineStr">
        <is>
          <t>Vajon milyen lehet egy zseblámpa, ami 5000 lumen fényerővel rendelkezik?
A NEBO DAVINCI 5000 egy valóságos fényerőszörny! 
Ez az eloxált, repülőipari minőségű alumíniumból készült zseblámpa számos hasznos funkcióval büszkélkedhet. Nem csak nagy fényerővel rendelkezik (5000 lm), hanem víz- és porálló is (IP67 minősítéssel), így bármilyen időjárási körülmények között megbízható társa lesz.
Az üzemmódválasztó tárcsa segítségével könnyedén válthat a nagy (5000 lm), közepes (1000 lm) és kis (100 lm) fényerők között, valamint van egy villogó üzemmód is (5000 lm), amely kiválóan alkalmas vészhelyzetekre vagy figyelemfelkeltésre.
A 3x-os zoom lehetővé teszi, hogy a fényt pontosan oda irányítsa, ahol szüksége van rá. 
Emellett a DAVINCI 5000 egy power bank is, így más eszközöket is tölthet vele.
A beépített 4500 mAh akkumulátor hosszú üzemidőt biztosít, és könnyen újratölthető. A kompakt méretű zseblámpa (26 x ∅5 cm) könnyen elfér a zsebében, hátizsákjában, és mindig kéznél lehet, amikor szüksége van rá.
Ne hagyja, hogy a sötétség legyőzze! Szerezze be most a NEBO DAVINCI 5000 zseblámpát, és legyen készen bármilyen kihívásra, kalandra!</t>
        </is>
      </c>
    </row>
    <row r="1173">
      <c r="A1173" s="3" t="inlineStr">
        <is>
          <t>NEB-FLT-1018-G</t>
        </is>
      </c>
      <c r="B1173" s="2" t="inlineStr">
        <is>
          <t>NEBO NEB-FLT-1018-G Master Series FL750 zseblámpa, 750 lm - 45 lm, 121 m, 5 funkció, IP67, mágneses, zsebcsipesz</t>
        </is>
      </c>
      <c r="C1173" s="1" t="n">
        <v>20790.0</v>
      </c>
      <c r="D1173" s="7" t="n">
        <f>HYPERLINK("https://www.somogyi.hu/product/nebo-neb-flt-1018-g-master-series-fl750-zseblampa-750-lm-45-lm-121-m-5-funkcio-ip67-magneses-zsebcsipesz-neb-flt-1018-g-18041","https://www.somogyi.hu/product/nebo-neb-flt-1018-g-master-series-fl750-zseblampa-750-lm-45-lm-121-m-5-funkcio-ip67-magneses-zsebcsipesz-neb-flt-1018-g-18041")</f>
        <v>0.0</v>
      </c>
      <c r="E1173" s="7" t="n">
        <f>HYPERLINK("https://www.somogyi.hu/data/img/product_main_images/small/18041.jpg","https://www.somogyi.hu/data/img/product_main_images/small/18041.jpg")</f>
        <v>0.0</v>
      </c>
      <c r="F1173" s="2" t="inlineStr">
        <is>
          <t>5060945230035</t>
        </is>
      </c>
      <c r="G1173" s="4" t="inlineStr">
        <is>
          <t>Miért hagyja, hogy a sötétség kizökkentse a megszokott napi rutinból? Ismerje meg a NEBO MASTER SERIES FL750 zseblámpát!
Ez a masszív és megbízható 750 lumenes zseblámpa mindent tud, amire szüksége van.
Újratölthető akkumulátora gyorsan feltölt és akár 6 órán keresztül világít. A mágneses üzemmódválasztó tárcsával könnyedén váltogathat az üzemmódok között, és az intelligens teljesítményvezérlés mindig optimális fényerőn tartja az elemlámpát.
A NEBO FL750 állítható 2x-es zoommal rendelkezik, így messzebbre világíthat, ha szüksége van rá. Vízálló (IP67) és ütésálló (2 méterig) kivitelezése biztosítja, hogy bármilyen körülmények között megbízhatóan működjön. 
Az ergonomikus gumírozott markolat kényelmes fogást biztosít, az erős mágneses talp segítségével könnyen rögzítheti fémtárgyakhoz.
A LED teljesítmény/töltésjelző mindig tájékoztatja Önt az akkumulátor állapotáról, így soha nem marad sötétben. 
Válasszon a különböző üzemmódok közül, legyen szó a 750 lumenes turbó fényről vagy a hosszabb üzemidőt biztosító alacsony fényről. 
Ne engedje, hogy a sötétség átvegye az irányítást! Tegye kosarába most, és élvezze a NEBO FL750 erejét és funkcionalitását!</t>
        </is>
      </c>
    </row>
    <row r="1174">
      <c r="A1174" s="3" t="inlineStr">
        <is>
          <t>NEB-FLT-0020-G</t>
        </is>
      </c>
      <c r="B1174" s="2" t="inlineStr">
        <is>
          <t>NEBO NEB-FLT-0020-G Davinci 2000 zseblámpa, 2000 lm - 200 lm, 4 funkció, IP67, 4x zoom, PowerBank funkció, 2000 mAh</t>
        </is>
      </c>
      <c r="C1174" s="1" t="n">
        <v>26890.0</v>
      </c>
      <c r="D1174" s="7" t="n">
        <f>HYPERLINK("https://www.somogyi.hu/product/nebo-neb-flt-0020-g-davinci-2000-zseblampa-2000-lm-200-lm-4-funkcio-ip67-4x-zoom-powerbank-funkcio-2000-mah-neb-flt-0020-g-17390","https://www.somogyi.hu/product/nebo-neb-flt-0020-g-davinci-2000-zseblampa-2000-lm-200-lm-4-funkcio-ip67-4x-zoom-powerbank-funkcio-2000-mah-neb-flt-0020-g-17390")</f>
        <v>0.0</v>
      </c>
      <c r="E1174" s="7" t="n">
        <f>HYPERLINK("https://www.somogyi.hu/data/img/product_main_images/small/17390.jpg","https://www.somogyi.hu/data/img/product_main_images/small/17390.jpg")</f>
        <v>0.0</v>
      </c>
      <c r="F1174" s="2" t="inlineStr">
        <is>
          <t>5060063228204</t>
        </is>
      </c>
      <c r="G1174" s="4" t="inlineStr">
        <is>
          <t>Miért maradna sötétben, amikor a NEBO DAVINCI 2000 zseblámpa 2000 lumen fényerővel áll rendelkezésére?
Ez az erős és megbízható zseblámpa minden helyzetben a segítségére lesz. 
Az eloxált, repülőipari minőségű alumínium ház megvédi a zseblámpát a víz és por behatolásától, így bátran használhatja szabadban is (IP67 minősítéssel rendelkezik).
Az üzemmódválasztó tárcsa segítségével könnyen beállíthatja a fényerőt nagy (2000 lm), közepes (800 lm) és kis (200 lm) fényerő között, és szükség esetén a villogó üzemmódot is aktiválhatja.
Emellett a DAVINCI 2000 zseblámpa beépített power bankként is szolgál, így tölthet vele más eszközöket is. A 4x-es zoom lehetővé teszi, hogy pontosan oda irányítsa a fényt, ahol szüksége van rá.
Ne hagyja, hogy a sötétség vagy a rossz időjárás meglepje! Szerezze be most a NEBO DAVINCI 2000 zseblámpát, és legyen mindig készen a legkülönbözőbb kihívásokra!</t>
        </is>
      </c>
    </row>
    <row r="1175">
      <c r="A1175" s="3" t="inlineStr">
        <is>
          <t>NEB-FLT-1063-G</t>
        </is>
      </c>
      <c r="B1175" s="2" t="inlineStr">
        <is>
          <t>Nebo NEB-FLT-1063-G DAVINCI 800L akkumulátoros zseblámpa, 800 lumen, alumínium test, IP67, power bank funkció</t>
        </is>
      </c>
      <c r="C1175" s="1" t="n">
        <v>15390.0</v>
      </c>
      <c r="D1175" s="7" t="n">
        <f>HYPERLINK("https://www.somogyi.hu/product/nebo-neb-flt-1063-g-davinci-800l-akkumulatoros-zseblampa-800-lumen-aluminium-test-ip67-power-bank-funkcio-neb-flt-1063-g-19133","https://www.somogyi.hu/product/nebo-neb-flt-1063-g-davinci-800l-akkumulatoros-zseblampa-800-lumen-aluminium-test-ip67-power-bank-funkcio-neb-flt-1063-g-19133")</f>
        <v>0.0</v>
      </c>
      <c r="E1175" s="7" t="n">
        <f>HYPERLINK("https://www.somogyi.hu/data/img/product_main_images/small/19133.jpg","https://www.somogyi.hu/data/img/product_main_images/small/19133.jpg")</f>
        <v>0.0</v>
      </c>
      <c r="F1175" s="2" t="inlineStr">
        <is>
          <t>5060945231919</t>
        </is>
      </c>
      <c r="G1175" s="4" t="inlineStr">
        <is>
          <t>Nebo NEB-FLT-1063-G akkumulátoros zseblámpa – Többre vágyik egy átlagos zseblámpánál? 
Ez a Nebo 800 lumen fényerejű akkumulátoros zseblámpa nemcsak kiemelkedő teljesítményt kínál, hanem számos innovatív funkcióval is rendelkezik, amelyek a legextrémebb körülmények között is megállják a helyüket. Legyen szó túrázásról, kempingezésről, vagy akár otthoni áramszünetről, ez a zseblámpa biztosítja a szükséges fényerőt és még többet is!
Kiemelkedő fényerő és üzemmódok minden helyzetre
A lámpa maximális, 800 lumen fényereje biztosítja, hogy akár 128 méter távolságra is tisztán lásson. A különböző üzemmódok révén minden helyzetben megtalálhatja a megfelelő fényerőt:
- Magas üzemmód: 800 lumen – 2 óra üzemidő / 128 méter hatótáv.
- Közepes üzemmód: 400 lumen – 5 óra üzemidő / 92 méter hatótáv.
- Alacsony üzemmód: 100 lumen – 20 óra üzemidő / 49 méter hatótáv.
- Stroboszkóp üzemmód: 800 lumen – 2 óra üzemidő / 128 méter hatótáv.
A 3x optikai zoom lehetővé teszi a fénycsóva fókuszálását vagy szélesebb terület megvilágítását, attól függően, hogy milyen feladatot kell elvégeznie.
Masszív és ellenálló kialakítás a hosszú távú használatra
A zseblámpa anyaga eloxált repülőipari minőségű alumínium, amely rendkívül strapabíróvá teszi. Az IP67-es víz- és porállósági besorolás garantálja, hogy szélsőséges időjárási körülmények között is megbízhatóan működjön. Akár esőben, akár poros környezetben használja, nem kell aggódnia a készülék meghibásodása miatt.
Több, mint egy zseblámpa: beépített power bank funkció
Ez a zseblámpa nemcsak világít, hanem power bankként is használható, köszönhetően a nagy kapacitású, 18650 típusú Li-ion akkumulátornak, amely 5000 mAh kapacitással rendelkezik. Az USB-A porton keresztül könnyedén feltöltheti okostelefonját vagy egyéb eszközeit, amikor éppen nincs más energiaforrás a közelben.
Smart Power Control™ és kényelmes vezérlés
A Nebo NEB-FLT-1063-G rendelkezik a Smart Power Control™ technológiával, amely optimalizálja az akkumulátor használatát, így meghosszabbítva az üzemidőt. Az érzékeny mágneses üzemmód választó tárcsa gyors és kényelmes váltást biztosít a különböző üzemmódok között. Az innovatív Direct-to-Low™ funkció segítségével azonnal alacsony fényerőre kapcsolhat, amikor kevésbé intenzív világításra van szüksége.
Kompakt méret és praktikus tartozékok
A zseblámpa 5,72 x 5,72 x 27,31 cm méretének és levehető csuklópántjának köszönhetően könnyen hordozható. A csomag tartalmaz egy USB-A – USB-C töltőkábelt, amellyel gyorsan és kényelmesen feltöltheti az akkumulátort.
Miért válassza a Nebo NEB-FLT-1063-G zseblámpát?
Ez a zseblámpa ideális választás mindazok számára, akik megbízható, nagy teljesítményű és multifunkciós világítási megoldást keresnek. A kiemelkedő fényerő, a hosszú üzemidő és a masszív kialakítás mellett a power bank funkció is egyedülállóvá teszi a kategóriájában.
Ne maradjon sötétben – válassza a Nebo NEB-FLT-1063-G zseblámpát, és élvezze a professzionális világítási élményt minden helyzetben! Rendelje meg most, és legyen felkészült minden eshetőségre!</t>
        </is>
      </c>
    </row>
    <row r="1176">
      <c r="A1176" s="3" t="inlineStr">
        <is>
          <t>NEB-6737-G</t>
        </is>
      </c>
      <c r="B1176" s="2" t="inlineStr">
        <is>
          <t>NEBO NEB-6737-G Big Larry 2, zseblámpa és szerelőlámpa, 500 lm - 40 lm, övcsipesz, mágneses</t>
        </is>
      </c>
      <c r="C1176" s="1" t="n">
        <v>7590.0</v>
      </c>
      <c r="D1176" s="7" t="n">
        <f>HYPERLINK("https://www.somogyi.hu/product/nebo-neb-6737-g-big-larry-2-zseblampa-es-szerelolampa-500-lm-40-lm-ovcsipesz-magneses-neb-6737-g-17409","https://www.somogyi.hu/product/nebo-neb-6737-g-big-larry-2-zseblampa-es-szerelolampa-500-lm-40-lm-ovcsipesz-magneses-neb-6737-g-17409")</f>
        <v>0.0</v>
      </c>
      <c r="E1176" s="7" t="n">
        <f>HYPERLINK("https://www.somogyi.hu/data/img/product_main_images/small/17409.jpg","https://www.somogyi.hu/data/img/product_main_images/small/17409.jpg")</f>
        <v>0.0</v>
      </c>
      <c r="F1176" s="2" t="inlineStr">
        <is>
          <t>5060063228563</t>
        </is>
      </c>
      <c r="G1176" s="4" t="inlineStr">
        <is>
          <t>Gondolta volna, hogy egy szerelőlámpa lehet több, mint egy egyszerű világítóeszköz? 
A NEBO BIG LARRY 2 szerelőlámpa egy igazi multitasking csoda, mely nem csupán a műhelyben, de az otthonában és a szabadban is nélkülözhetetlen társ lehet. 
Eloxált, repülőipari minőségű alumínium házával a termék kimagasló tartósságot és eleganciát biztosít. 
A víz- és ütésállósága pedig garancia arra, hogy még a legkeményebb környezeti feltételek között is megállja a helyét.
A szabályozható fényerő, az acél övcsipesz és az erős mágneses talp kényelmes és sokoldalú használatot tesznek lehetővé. 
A zseblámpafunkció 200 lm fényerővel kiválóan alkalmas tájékozódáshoz a sötétben, míg a 500 lumen fényerejű szerelőlámpa funkcióval a legapróbb részeket is bevilágíthatja. 
Ha vészhelyzetben találná magát, a 40 lumen piros fény vagy a piros villogás funkció segítségére lehet. 
A termék 3 x AA elemmel működik, amely a csomagban tartozék, a termék méretei 19,7 x 2,5 x 3,2 cm.
Ne hagyja, hogy a rossz fényviszonyok gátolják a munkájában vagy a kikapcsolódásban! Válassza a NEBO BIG LARRY 2 szerelőlámpát, és tapasztalja meg, hogy milyen, amikor a funkcionalitás találkozik az innovációval!</t>
        </is>
      </c>
    </row>
    <row r="1177">
      <c r="A1177" s="3" t="inlineStr">
        <is>
          <t>NE0015</t>
        </is>
      </c>
      <c r="B1177" s="2" t="inlineStr">
        <is>
          <t>NEBO NE0015 Omni 2000, fényvető, 2000 lm, PowerBank, 2000 lm - 1100 lm - 20 lm, 4000 mAh, mágneses</t>
        </is>
      </c>
      <c r="C1177" s="1" t="n">
        <v>19490.0</v>
      </c>
      <c r="D1177" s="7" t="n">
        <f>HYPERLINK("https://www.somogyi.hu/product/nebo-ne0015-omni-2000-fenyveto-2000-lm-powerbank-2000-lm-1100-lm-20-lm-4000-mah-magneses-ne0015-17427","https://www.somogyi.hu/product/nebo-ne0015-omni-2000-fenyveto-2000-lm-powerbank-2000-lm-1100-lm-20-lm-4000-mah-magneses-ne0015-17427")</f>
        <v>0.0</v>
      </c>
      <c r="E1177" s="7" t="n">
        <f>HYPERLINK("https://www.somogyi.hu/data/img/product_main_images/small/17427.jpg","https://www.somogyi.hu/data/img/product_main_images/small/17427.jpg")</f>
        <v>0.0</v>
      </c>
      <c r="F1177" s="2" t="inlineStr">
        <is>
          <t>5060063227801</t>
        </is>
      </c>
      <c r="G1177" s="4" t="inlineStr">
        <is>
          <t>Szüksége van egy valóban sokoldalú, hatalmas teljesítményű lámpára? A NEBO OMNI 2000 nem csupán megvilágít, de energiával is ellát! 
A lámpa csúszásgátló gumibevonattal rendelkezik, amely biztonságos és kényelmes fogást tesz lehetővé, miközben a forgatható mágneses fogantyúknak köszönhetően rendkívül sokoldalúan használható.
Az OMNI 2000 innovációjának csúcsát a forgatható COB panelek képezik, amelyek széles fényerő-skálán mozognak: mindkét COB panel bekapcsolva akár 2000 lumen fényerőt is produkálhat, de választhatóan egy panel is üzemeltethető 1100 lumen vagy 150 lumen fényerővel. 
A piros COB funkció és a villogó piros fény még több alkalmazási lehetőséget biztosít. 
A 4000 mAh akkumulátor nem csak hosszantartó működést, hanem power bank funkciót is garantál, így sosem marad energia nélkül.
Ha egy megbízható, multifunkciós lámpára vágyik, az NEBO OMNI 2000 a tökéletes választás. 
Ne hagyja ki ezt a technológiai csodát, amely minden helyzetben az Ön szolgálatában áll!</t>
        </is>
      </c>
    </row>
    <row r="1178">
      <c r="A1178" s="3" t="inlineStr">
        <is>
          <t>NEB-HLP-0005-G</t>
        </is>
      </c>
      <c r="B1178" s="2" t="inlineStr">
        <is>
          <t>NEBO NEB-HLP-0005-G Einstein 400, 400 lm - 15 lm, IPX4, 5 üzemmód, 300 mAh akkumulátor</t>
        </is>
      </c>
      <c r="C1178" s="1" t="n">
        <v>12390.0</v>
      </c>
      <c r="D1178" s="7" t="n">
        <f>HYPERLINK("https://www.somogyi.hu/product/nebo-neb-hlp-0005-g-einstein-400-400-lm-15-lm-ipx4-5-uzemmod-300-mah-akkumulator-neb-hlp-0005-g-17405","https://www.somogyi.hu/product/nebo-neb-hlp-0005-g-einstein-400-400-lm-15-lm-ipx4-5-uzemmod-300-mah-akkumulator-neb-hlp-0005-g-17405")</f>
        <v>0.0</v>
      </c>
      <c r="E1178" s="7" t="n">
        <f>HYPERLINK("https://www.somogyi.hu/data/img/product_main_images/small/17405.jpg","https://www.somogyi.hu/data/img/product_main_images/small/17405.jpg")</f>
        <v>0.0</v>
      </c>
      <c r="F1178" s="2" t="inlineStr">
        <is>
          <t>5060063228341</t>
        </is>
      </c>
      <c r="G1178" s="4" t="inlineStr">
        <is>
          <t>A NEBO EINSTEIN™ 400 ötféle üzemmódban működő, nagy fényerejű kompakt fejlámpa, amely maximálisan a 400 lumenes fényerővel 133 méter távolságra is tökéletes láthatóságot produkál.
Anyaga ABS és alumínium, így könnyű kivitelű. Vízállóságának köszönhetően a nedves környezetben is gond nélkül használhatjuk.
Méretei és paraméterei ideálisak, hogy sötétedéskor biztonságosan láthatóvá tegyük magunkat és a környezetünket: sport tevékenység, futás, kerékpározás, horgászat, kirándulás során. 
COB reflektorral és COB piros fénnyel rendelkezik, amely által több LED- del rendelkezik, így erősebb, egységesebb fényt, ezáltal jobb megvilágítást eredményez.
A töltésjelző jelzi a feltöltöttség mértékét. Tápellátásként az újratölthető akkumulátor tartozékként szolgál.</t>
        </is>
      </c>
    </row>
    <row r="1179">
      <c r="A1179" s="3" t="inlineStr">
        <is>
          <t>NEB-HLP-0011-G</t>
        </is>
      </c>
      <c r="B1179" s="2" t="inlineStr">
        <is>
          <t>NEBO NEB-HLP-0011-G Mycro Headlamp, 500 lm fejlámpa, IP67, 3 üzemmód, 500 mAh</t>
        </is>
      </c>
      <c r="C1179" s="1" t="n">
        <v>10390.0</v>
      </c>
      <c r="D1179" s="7" t="n">
        <f>HYPERLINK("https://www.somogyi.hu/product/nebo-neb-hlp-0011-g-mycro-headlamp-500-lm-fejlampa-ip67-3-uzemmod-500-mah-neb-hlp-0011-g-17419","https://www.somogyi.hu/product/nebo-neb-hlp-0011-g-mycro-headlamp-500-lm-fejlampa-ip67-3-uzemmod-500-mah-neb-hlp-0011-g-17419")</f>
        <v>0.0</v>
      </c>
      <c r="E1179" s="7" t="n">
        <f>HYPERLINK("https://www.somogyi.hu/data/img/product_main_images/small/17419.jpg","https://www.somogyi.hu/data/img/product_main_images/small/17419.jpg")</f>
        <v>0.0</v>
      </c>
      <c r="F1179" s="2" t="inlineStr">
        <is>
          <t>5060063228587</t>
        </is>
      </c>
      <c r="G1179" s="4" t="inlineStr">
        <is>
          <t>Keresi a tökéletes társat a kempingezéshez, túrázáshoz vagy akár munkához amikor besötétedik? 
A NEBO MYCRO HEADLAMP fejlámpa ideális választás minden igényt kielégítve. 
Burkolata eloxált, repülőipari minőségű alumíniumból készült, így garantált a tartósság és a könnyű súly. 
Az IP67-es vízállósági besorolás és az ütésállóság tovább erősítik a termék megbízhatóságát a legkeményebb környezetben is.
A készülék turbó üzemmódja 400 lumen fényerővel azonnal megvilágítja környezetét, de rendelkezésre áll egy nagy fényerő (150 lm) és egy piros fény (10 lm) opció is, így minden helyzetben optimális megvilágítást biztosít. Az alacsony akkumulátorszint-kijelzésnek köszönhetően mindig tudni fogja, mikor van szükség az 500 mAh akkumulátor töltésére. 
Mindezek csupán 2,54 x 3,05 x 7,24 cm-es méretben fejpánt nélkül, így könnyedén magával viheti bárhová.
Ne halogassa tovább, szerezze be a NEBO MYCRO HEADLAMP fejlámpát most, és élvezze az azonnali, megbízható és erős megvilágítást minden körülmények között!</t>
        </is>
      </c>
    </row>
    <row r="1180">
      <c r="A1180" s="3" t="inlineStr">
        <is>
          <t>NEB-FLT-1006-G</t>
        </is>
      </c>
      <c r="B1180" s="2" t="inlineStr">
        <is>
          <t>NEBO NEB-FLT-1006-G Torchy 2K zseblámpa, 2000 lm - 50 lm, 4 funkció, IP66, 2000 mAh, övcsipesz</t>
        </is>
      </c>
      <c r="C1180" s="1" t="n">
        <v>18290.0</v>
      </c>
      <c r="D1180" s="7" t="n">
        <f>HYPERLINK("https://www.somogyi.hu/product/nebo-neb-flt-1006-g-torchy-2k-zseblampa-2000-lm-50-lm-4-funkcio-ip66-2000-mah-ovcsipesz-neb-flt-1006-g-17417","https://www.somogyi.hu/product/nebo-neb-flt-1006-g-torchy-2k-zseblampa-2000-lm-50-lm-4-funkcio-ip66-2000-mah-ovcsipesz-neb-flt-1006-g-17417")</f>
        <v>0.0</v>
      </c>
      <c r="E1180" s="7" t="n">
        <f>HYPERLINK("https://www.somogyi.hu/data/img/product_main_images/small/17417.jpg","https://www.somogyi.hu/data/img/product_main_images/small/17417.jpg")</f>
        <v>0.0</v>
      </c>
      <c r="F1180" s="2" t="inlineStr">
        <is>
          <t>5060063228686</t>
        </is>
      </c>
      <c r="G1180" s="4" t="inlineStr">
        <is>
          <t>A NEBO TORCHY 2K: A nagy teljesítményű zseblámpa, amire mindig is várt!
Az eloxált, repülőipari minőségű alumínium test tartós és megbízható, amely képes kiállni a keményebb igénybevételeket is. 
Emellett a zseblámpa IP66-os víz- és ütésállósággal rendelkezik, így bátran használhatja esős időben vagy durva körülmények között.
A NEBO TORCHY 2K egy praktikus leszerelhető övcsipesszel van ellátva, amely lehetővé teszi, hogy mindig Önnél legyen, akár övre csíptetve, akár táskájában. A zseblámpa többféle fényerő beállítással rendelkezik, beleértve a turbó (2000 lm) fényerőt a nagy (500 lm), közepes (200 lm) és kis (50 lm) fényerőt. Emellett van villogó üzemmód (500 lm) is, amely kiválóan használható vészhelyzetekben vagy figyelemfelkeltésre.
A beépített 2000 mAh akkumulátor hosszú üzemidőt biztosít, és könnyen újratölthető. A kompakt méretű zseblámpa (11 x ∅2,7 cm) könnyen elfér a zsebében vagy hátizsákjában, és mindig kéznél lehet, amikor szüksége van rá.
Ne hagyja, hogy a sötétség megállítsa! Szerezze be most a NEBO TORCHY 2K zseblámpát, és legyen készen bármilyen kihívásra vagy kalandra!</t>
        </is>
      </c>
    </row>
    <row r="1181">
      <c r="A1181" s="3" t="inlineStr">
        <is>
          <t>NEB-FLT-0016-G</t>
        </is>
      </c>
      <c r="B1181" s="2" t="inlineStr">
        <is>
          <t>NEBO NEB-FLT-0016-G Newton 1000 zseblámpa, 1000 lm - 60 lm, 4 funkció, IP67, 3x zoom</t>
        </is>
      </c>
      <c r="C1181" s="1" t="n">
        <v>16690.0</v>
      </c>
      <c r="D1181" s="7" t="n">
        <f>HYPERLINK("https://www.somogyi.hu/product/nebo-neb-flt-0016-g-newton-1000-zseblampa-1000-lm-60-lm-4-funkcio-ip67-3x-zoom-neb-flt-0016-g-17393","https://www.somogyi.hu/product/nebo-neb-flt-0016-g-newton-1000-zseblampa-1000-lm-60-lm-4-funkcio-ip67-3x-zoom-neb-flt-0016-g-17393")</f>
        <v>0.0</v>
      </c>
      <c r="E1181" s="7" t="n">
        <f>HYPERLINK("https://www.somogyi.hu/data/img/product_main_images/small/17393.jpg","https://www.somogyi.hu/data/img/product_main_images/small/17393.jpg")</f>
        <v>0.0</v>
      </c>
      <c r="F1181" s="2" t="inlineStr">
        <is>
          <t>5060063228235</t>
        </is>
      </c>
      <c r="G1181" s="4" t="inlineStr">
        <is>
          <t>Mit tud a NEBO NEWTON 1000 zseblámpa? Ismerje meg!
Ha fényre van szüksége a sötétben, akkor ez a zseblámpa Önnek való. 
Az 1000 lumen fényerővel és 3x-os zoommal a NEWTON 1000 minden helyzetben megbízható társ lesz.
Az eloxált, repülőipari minőségű alumínium háza ellenáll a víznek és pornak (IP67 minősítésű), így szinte bármilyen körülmények között használhatja. 
Nagy (1000 lm), közepes (600 lm) és kis fényerő (60 lm)között váltogathat, attól függően, hogy mire van éppen szüksége. A villogó üzemmód pedig segítségére lehet veszélyhelyzetekben.
A NEWTON 1000 zseblámpa 4 darab 1,5 V (AAA) elemmel működik, amelyeket a csomag tartalmaz. A zseblámpa kompakt méretének (összetolva 18 x ∅4,6 cm) köszönhetően könnyen magával viheti, így mindig kéznél lesz a szükséges fényforrás.
Ne hagyja, hogy a sötétség meglepje! Szerezze be most a NEBO NEWTON 1000 zseblámpát, és legyen felkészülve minden helyzetre!</t>
        </is>
      </c>
    </row>
    <row r="1182">
      <c r="A1182" s="3" t="inlineStr">
        <is>
          <t>NEB-6809-G</t>
        </is>
      </c>
      <c r="B1182" s="2" t="inlineStr">
        <is>
          <t>NEBO NEB-6809-G Tino, 300 lm - 250 lm, zseblámpa, övcsipesz, mágneses</t>
        </is>
      </c>
      <c r="C1182" s="1" t="n">
        <v>3990.0</v>
      </c>
      <c r="D1182" s="7" t="n">
        <f>HYPERLINK("https://www.somogyi.hu/product/nebo-neb-6809-g-tino-300-lm-250-lm-zseblampa-ovcsipesz-magneses-neb-6809-g-17411","https://www.somogyi.hu/product/nebo-neb-6809-g-tino-300-lm-250-lm-zseblampa-ovcsipesz-magneses-neb-6809-g-17411")</f>
        <v>0.0</v>
      </c>
      <c r="E1182" s="7" t="n">
        <f>HYPERLINK("https://www.somogyi.hu/data/img/product_main_images/small/17411.jpg","https://www.somogyi.hu/data/img/product_main_images/small/17411.jpg")</f>
        <v>0.0</v>
      </c>
      <c r="F1182" s="2" t="inlineStr">
        <is>
          <t>5060063228570</t>
        </is>
      </c>
      <c r="G1182" s="4" t="inlineStr">
        <is>
          <t>Szeretne egy elemlámpát, ami nem csak erős, de sokoldalú is? 
A NEBO TINO elemlámpa olyan sokoldalú eszköz, amely szinte minden körülmény között megbízható. 
Víz- és ütésálló tulajdonsága garantálja, hogy nem kell attól tartania: az eszköz cserben hagyja. 
A robusztus műanyag ház még tovább növeli az elemlámpa tartósságát, ami azt jelenti, hogy ez egy valóban hosszú élettartamú termék.
Az állítható fényerő lehetővé teszi, hogy a lámpa alkalmazkodjon az Ön igényeihez. 
Az övcsipesz akasztóval és az erős mágneses talp segítségével a NEBO TINO könnyedén rögzíthető különböző felületeken, így kezei szabadon maradnak. Pontfény üzemmódban 300 lumen, szerelőlámpa üzemmódban pedig 250 lm fényerővel büszkélkedhet. 
Tápellátását 3 x AAA elem biztosítja, melyeket a csomagban megtalál. 
Mindez egy kompakt, 11 x 4,5 x 4 cm-es méretben került kialakításra.
Fedezze fel a NEBO TINO elemlámpa sokoldalúságát és megbízhatóságát! Ne maradjon sötétben, válassza a minőségi világítást!</t>
        </is>
      </c>
    </row>
    <row r="1183">
      <c r="A1183" s="3" t="inlineStr">
        <is>
          <t>NEB-HLP-1006-G</t>
        </is>
      </c>
      <c r="B1183" s="2" t="inlineStr">
        <is>
          <t>NEBO NEB-HLP-1006-G Master Series HL1000 fejlámpa, 1000 lm - 30 lm, 138 m, 5 funkció, IP67, mágneses, USB-C</t>
        </is>
      </c>
      <c r="C1183" s="1" t="n">
        <v>30690.0</v>
      </c>
      <c r="D1183" s="7" t="n">
        <f>HYPERLINK("https://www.somogyi.hu/product/nebo-neb-hlp-1006-g-master-series-hl1000-fejlampa-1000-lm-30-lm-138-m-5-funkcio-ip67-magneses-usb-c-neb-hlp-1006-g-18039","https://www.somogyi.hu/product/nebo-neb-hlp-1006-g-master-series-hl1000-fejlampa-1000-lm-30-lm-138-m-5-funkcio-ip67-magneses-usb-c-neb-hlp-1006-g-18039")</f>
        <v>0.0</v>
      </c>
      <c r="E1183" s="7" t="n">
        <f>HYPERLINK("https://www.somogyi.hu/data/img/product_main_images/small/18039.jpg","https://www.somogyi.hu/data/img/product_main_images/small/18039.jpg")</f>
        <v>0.0</v>
      </c>
      <c r="F1183" s="2" t="inlineStr">
        <is>
          <t>5060945230011</t>
        </is>
      </c>
      <c r="G1183" s="4" t="inlineStr">
        <is>
          <t>Elgondolkodott már azon, hogy milyen lehet a tökéletes fejlámpa? A válasz: NEBO MASTER SERIES HL1000.
Ez a masszív és megbízható 1000 lumenes fejlámpa mindent megad, amire szüksége lehet. 
Az USB-C újratölthető akkumulátorral (18650) és az intelligens teljesítményvezérléssel mindig optimális fényerőn világít, így nem marad sötétben. 
A mágneses üzemmódválasztó tárcsával könnyen válthat az üzemmódok között, és az optimalizált teljesítménygörbe biztosítja, hogy mindig a legjobbat hozza ki belőle.
A NEBO HL1000 fejlámpa rendkívül strapabíró, vízálló (IP67) és ütésálló (2 méterig) kialakítású, így bármilyen körülmények között megbízhatóan működik. 
Az erős mágneses talp segítségével könnyedén rögzítheti fémtárgyakhoz, a levehető tartó pedig kényelmes és sokrétű felhasználást biztosít.
A LED teljesítmény/töltésjelző mindig tájékoztatja önt az akkumulátor állapotáról, így soha nem éri meglepetés. 
Válassza ki a megfelelő üzemmódot a turbó fénytől kezdve egészen a stroboszkópig. A NEBO MASTER SERIES HL1000 fejlámpa az Ön biztonságát és kényelmét szolgálja. 
Tegye kosarába most, és fedezze fel, hogy milyen könnyedén lehet világos az éjszaka!</t>
        </is>
      </c>
    </row>
    <row r="1184">
      <c r="A1184" s="3" t="inlineStr">
        <is>
          <t>NEB-6700-G</t>
        </is>
      </c>
      <c r="B1184" s="2" t="inlineStr">
        <is>
          <t>NEBO NEB-6700-G 450 Flex zseblámpa, 450 lm - 250 lm, 4 üzemmód, Flex Power, 6x zoom, 600 mAh</t>
        </is>
      </c>
      <c r="C1184" s="1" t="n">
        <v>10390.0</v>
      </c>
      <c r="D1184" s="7" t="n">
        <f>HYPERLINK("https://www.somogyi.hu/product/nebo-neb-6700-g-450-flex-zseblampa-450-lm-250-lm-4-uzemmod-flex-power-6x-zoom-600-mah-neb-6700-g-17410","https://www.somogyi.hu/product/nebo-neb-6700-g-450-flex-zseblampa-450-lm-250-lm-4-uzemmod-flex-power-6x-zoom-600-mah-neb-6700-g-17410")</f>
        <v>0.0</v>
      </c>
      <c r="E1184" s="7" t="n">
        <f>HYPERLINK("https://www.somogyi.hu/data/img/product_main_images/small/17410.jpg","https://www.somogyi.hu/data/img/product_main_images/small/17410.jpg")</f>
        <v>0.0</v>
      </c>
      <c r="F1184" s="2" t="inlineStr">
        <is>
          <t>5060063228778</t>
        </is>
      </c>
      <c r="G1184" s="4" t="inlineStr">
        <is>
          <t>Mi az, amitől egy zseblámpa valóban kivételes lehet? A válasz nem más, mint a NEBO 450 FLEX, ahol az erő és a rugalmasság találkozik. 
Az eszköz eloxált, repülőipari minőségű alumíniumból készült, ami garancia a tartósságra és az időtállóságra. 
Emellett víz- és ütésálló, így a természet kihívásaihoz is alkalmazkodik.
Az 6x-os zoom lehetőségével a fényerő és a fénykéve iránya kiválóan szabályozható. 
Az övcsipesz és az erős mágneses talp rendkívül praktikus, ha kéz nélküli műveletek végzésére kerül sor. 
A Flex Power technológia révén a lámpa tápellátása rugalmas: választhat az újratölthető 600 mAh akkumulátor és az AA elemek között. Az akkumulátorral turbó (450 lm), nagy (250 lm) és kis (80 lm) fényerővel, valamint villogó üzemmóddal (250 lm) is használható. Ha AA elemmel üzemelteti, akkor is rendelkezésre áll a nagy (90 lm), a kis (30 lm) fényerő és a villogó üzemmód (90 lm). 
Mindez egy kompakt méretben, csak 10,7 x ∅2,9 cm.
Ne maradjon le a NEBO 450 FLEX zseblámpa által kínált egyedülálló lehetőségekről! Válassza ezt a tökéletes társat mindennapi és szakmai kihívásaihoz!</t>
        </is>
      </c>
    </row>
    <row r="1185">
      <c r="A1185" s="3" t="inlineStr">
        <is>
          <t>NEB-HLP-7000-G</t>
        </is>
      </c>
      <c r="B1185" s="2" t="inlineStr">
        <is>
          <t>NEBO NEB-HLP-7000-G 150 fejlámpa, 150 lumen, COB LED, 3 üzemmód, elemes</t>
        </is>
      </c>
      <c r="C1185" s="1" t="n">
        <v>3990.0</v>
      </c>
      <c r="D1185" s="7" t="n">
        <f>HYPERLINK("https://www.somogyi.hu/product/nebo-neb-hlp-7000-g-150-fejlampa-150-lumen-cob-led-3-uzemmod-elemes-neb-hlp-7000-g-19183","https://www.somogyi.hu/product/nebo-neb-hlp-7000-g-150-fejlampa-150-lumen-cob-led-3-uzemmod-elemes-neb-hlp-7000-g-19183")</f>
        <v>0.0</v>
      </c>
      <c r="E1185" s="7" t="n">
        <f>HYPERLINK("https://www.somogyi.hu/data/img/product_main_images/small/19183.jpg","https://www.somogyi.hu/data/img/product_main_images/small/19183.jpg")</f>
        <v>0.0</v>
      </c>
      <c r="F1185" s="2" t="inlineStr">
        <is>
          <t>5060063228860</t>
        </is>
      </c>
      <c r="G1185" s="4" t="inlineStr">
        <is>
          <t>Hogyan biztosíthatja a tökéletes látási viszonyokat éjszakai vagy szabadidős tevékenységek során?
A NEBO NEB-HLP-7000-G 150 fejlámpa kompakt, mégis rendkívül erőteljes megoldást kínál mindazok számára, akik megbízható és könnyen használható világításra vágynak. Ez a 150 lumen fényerejű COB LED fejlámpa három különböző világítási móddal rendelkezik, így minden helyzethez alkalmazkodik, legyen szó esti túrázásról, kempingezésről vagy akár otthoni használatról.
Erőteljes és sokoldalú világítás
A NEBO fejlámpa három világítási módot kínál, így mindig a megfelelő fényerő áll rendelkezésre:
- Magas fényerő (150 lumen) – akár 12 órán át világít, és 19 méteres távolságig biztosít tiszta fényt.
- Alacsony fényerő (40 lumen) – energiatakarékos üzemmód, amely akár 24 órán át működik, 10 méteres hatótávolsággal.
- Villogó üzemmód (150 lumen) – szintén 24 órás üzemidővel és 19 méteres fénytávolsággal, ideális vészhelyzetekhez vagy figyelemfelkeltéshez.
Kényelmes és tartós kialakítás
A fejlámpa könnyű (mindössze 39 g súlyú), így hosszabb használat során sem terheli meg a fejet. Az állítható és rugalmas fejpántnak köszönhetően minden fejmérethez illeszkedik, így kényelmesen hordható sportolás, munka vagy szabadtéri tevékenységek közben. ABS konstrukciója masszív, strapabíró és ellenálló a kisebb ütődésekkel szemben.
Víz- és ütésálló kivitel a szélsőséges körülményekhez
Az IPX4 vízállósági besorolás biztosítja, hogy a fejlámpa ellenálljon az esőnek és a nedvességnek, így bátran használható kültéri tevékenységek során is. A ütésálló kivitel megvédi a kisebb sérülésektől, így még zord körülmények között is megbízhatóan működik.
Egyszerű működés és hosszú üzemidő
Az elöl elhelyezett BE/KI és üzemmódválasztó gomb segítségével a fejlámpa egyetlen mozdulattal könnyen kezelhető. A készülék három darab AAA alkáli elemmel működik (melyek a csomag tartozékai), így azonnal használatba vehető.
Miért érdemes a NEBO NEB-HLP-7000-G 150 fejlámpát választani?
- 150 lumenes COB LED fényforrás három világítási móddal
- Kompakt és könnyű kivitel (mindössze 39 g), állítható fejpánttal
- IPX4 vízállóság és ütésálló ABS konstrukció kültéri használatra
- Egyszerű, egygombos vezérlés a gyors üzemmódváltásért
- Akár 24 órás üzemidő alacsony módban
- Tartozék 3 db AAA alkáli elem az azonnali használathoz
Ne hagyja, hogy a sötétség korlátozza a lehetőségeit! A NEBO NEB-HLP-7000-G 150 fejlámpa tökéletes választás túrázáshoz, munkavégzéshez vagy vészhelyzeti helyzetekhez – mindig megbízható fényforrást biztosít, amikor szüksége van rá!</t>
        </is>
      </c>
    </row>
    <row r="1186">
      <c r="A1186" s="3" t="inlineStr">
        <is>
          <t>NEB-HLP-1011-G</t>
        </is>
      </c>
      <c r="B1186" s="2" t="inlineStr">
        <is>
          <t>NEBO NEB-HLP-1011-G EINSTEIN 250 fejlámpa, 250 lm - 30 lm, 106 m, 7 funkció, IP44, 3 x AAA elem</t>
        </is>
      </c>
      <c r="C1186" s="1" t="n">
        <v>5890.0</v>
      </c>
      <c r="D1186" s="7" t="n">
        <f>HYPERLINK("https://www.somogyi.hu/product/nebo-neb-hlp-1011-g-einstein-250-fejlampa-250-lm-30-lm-106-m-7-funkcio-ip44-3-x-aaa-elem-neb-hlp-1011-g-19134","https://www.somogyi.hu/product/nebo-neb-hlp-1011-g-einstein-250-fejlampa-250-lm-30-lm-106-m-7-funkcio-ip44-3-x-aaa-elem-neb-hlp-1011-g-19134")</f>
        <v>0.0</v>
      </c>
      <c r="E1186" s="7" t="n">
        <f>HYPERLINK("https://www.somogyi.hu/data/img/product_main_images/small/19134.jpg","https://www.somogyi.hu/data/img/product_main_images/small/19134.jpg")</f>
        <v>0.0</v>
      </c>
      <c r="F1186" s="2" t="inlineStr">
        <is>
          <t>5060945231933</t>
        </is>
      </c>
      <c r="G1186" s="4" t="inlineStr">
        <is>
          <t>Nebo NEB-HLP-1011-G Einstein 250 fejlámpa – Vajon melyik a tökéletes társ egy esti túrához vagy szabadidős tevékenységhez? 
Az Einstein 250 fejlámpa kiváló választás mindenki számára, aki kompakt, mégis erőteljes világítási megoldást keres. A 250 lumen fényerejű lámpa többféle üzemmódot kínál, így alkalmazkodik a különféle körülményekhez, legyen szó éjszakai kirándulásról, kempingezésről vagy akár otthoni használatról.
Sokoldalú fényerő-szabályozás a maximális kényelemért
Az Einstein 250 fejlámpa hat különböző üzemmóddal rendelkezik, így könnyen kiválaszthatja az aktuális helyzethez leginkább megfelelő világítást. A reflektor magas fényereje 250 lumen, amely akár 106 méteres távolságot is bevilágít, míg alacsony üzemmódban 30 lumen fényerővel akár 24 órán át működik. A C.O.B LED technológiának köszönhetően a lámpa széles szögben biztosítja a világítást, fehér fény üzemmódban akár 9 órán át, alacsony fényerőn pedig 34 órán át üzemel. Emellett piros fényű üzemmódot is kínál, amely diszkrétebb megvilágítást nyújt, ideális például térképolvasáshoz vagy vészhelyzeti jelzéshez.
Kényelmes használat és tartós kialakítás
A lámpa 180°-ban dönthető, így a fény irányát könnyedén beállíthatja anélkül, hogy levenné a fejéről. Az ellenálló ABS és alumínium konstrukció garantálja a hosszú élettartamot, miközben a könnyű súly kényelmes viseletet biztosít. Az IP44-es por- és vízállósági besorolásnak köszönhetően esőben vagy poros környezetben is megbízhatóan használható.
Innovatív funkciók a praktikus működéshez
Az Einstein 250 fejlámpa rendelkezik Power Memory funkcióval, amely megjegyzi az utoljára használt üzemmódot, így bekapcsoláskor automatikusan azt aktiválja. A Direct to Red funkció révén egyetlen mozdulattal válthat közvetlenül a piros fény üzemmódra, amely különösen hasznos éjszakai helyzetekben, amikor a szem természetes sötéthez való alkalmazkodása fontos.
Egyszerű energiaellátás és hosszú üzemidő
A lámpa három darab AAA elemmel működik, amelyek a csomag részét képezik, így azonnal használatra kész. Az energiatakarékos üzemmódoknak köszönhetően akár 40 órás üzemidőt is elérhet alacsony fényerejű piros fény üzemmódban, ami különösen hosszú túrák vagy kempingezések során előnyös.
Üzemmódok:
- Reflektor magas fényerő: 250 lumen – 3,5 óra / 106 méter.
- Reflektor alacsony fényerő: 30 lumen – 24 óra / 42 méter.
- C.O.B fehér fény: 80 lumen – 9 óra / 13 méter.
- C.O.B alacsony fényerő: 7 lumen – 34 óra / 2 méter.
- Piros fény magas fényerő: 3 lumen – 10,5 óra / 1 méter.
- Piros fény alacsony fényerő: 1 lumen – 40 óra / 0,25 méter.
- Piros fény stroboszkóp: 42 óra.
Miért érdemes az Einstein 250 fejlámpát választani?
Akár kültéri kalandokhoz, akár otthoni vagy munkahelyi felhasználásra keres egy megbízható és sokoldalú fejlámpát, a Nebo Einstein 250 ideális választás. A kiváló fényerő, a hosszú üzemidő, valamint a tartós és kényelmes kialakítás garantálja, hogy minden helyzetben számíthat rá.
Ne hagyja, hogy a sötét meglepje – válassza a Nebo Einstein 250 fejlámpát, és élvezze a biztos fényforrást bárhol, bármikor! Rendelje meg most, és tapasztalja meg a prémium minőség előnyeit!</t>
        </is>
      </c>
    </row>
    <row r="1187">
      <c r="A1187" s="3" t="inlineStr">
        <is>
          <t>NEB-FLT-0033-G</t>
        </is>
      </c>
      <c r="B1187" s="2" t="inlineStr">
        <is>
          <t>NEBO NEB-FLT-0033-G Torchy 2k HD zseblámpa, 2000 Lumen, akkumulátoros, víz-, és ütésálló, övcsipesz</t>
        </is>
      </c>
      <c r="C1187" s="1" t="n">
        <v>18590.0</v>
      </c>
      <c r="D1187" s="7" t="n">
        <f>HYPERLINK("https://www.somogyi.hu/product/nebo-neb-flt-0033-g-torchy-2k-hd-zseblampa-2000-lumen-akkumulatoros-viz-es-utesallo-ovcsipesz-neb-flt-0033-g-19154","https://www.somogyi.hu/product/nebo-neb-flt-0033-g-torchy-2k-hd-zseblampa-2000-lumen-akkumulatoros-viz-es-utesallo-ovcsipesz-neb-flt-0033-g-19154")</f>
        <v>0.0</v>
      </c>
      <c r="E1187" s="7" t="n">
        <f>HYPERLINK("https://www.somogyi.hu/data/img/product_main_images/small/19154.jpg","https://www.somogyi.hu/data/img/product_main_images/small/19154.jpg")</f>
        <v>0.0</v>
      </c>
      <c r="F1187" s="2" t="inlineStr">
        <is>
          <t>5060945232084</t>
        </is>
      </c>
      <c r="G1187" s="4" t="inlineStr">
        <is>
          <t>Hogyan biztosíthat maximális fényerőt és tartósságot a legkeményebb körülmények között is? A NEBO NEB-FLT-0033-G Torchy 2k HD zseblámpa egy kompakt, mégis rendkívül erőteljes világítóeszköz, amely akár 2000 lumenes fényerőt is biztosít. Az eloxált repülőipari minőségű alumíniumból készült lámpa víz- és ütésálló, így kiváló választás a szabadtéri kalandok, szakmai munkák vagy akár vészhelyzeti helyzetek során. A leszerelhető övcsipesz és az intelligens üzemmódok széles választéka garantálja a kényelmes és sokoldalú használatot.
Erőteljes fényerő és sokoldalú üzemmódok 
A Torchy 2k HD zseblámpa többféle üzemmódot kínál, hogy minden helyzetben optimális világítást biztosítson:
- Turbo mód (2000 lumen): 30 másodpercig biztosítja a maximális fényerőt, akár 184 méteres távolságra.
- Nagy fényerő (500 lumen): Ideális a közeli és távoli munkákhoz, akár 100 méteres hatótávval és 1,5 órás üzemidővel.
- Közepes fényerő (200 lumen): Kiegyensúlyozott fényerőt kínál 60 méteres távolságig és 2 órás működési idővel.
- Kis fényerő (50 lumen): Hosszabb ideig használható, akár 9 órán át, 30 méteres hatótávval.
- Villogó üzemmód (500 lumen): Ideális vészjelzéshez, amely 1,5 órás folyamatos működést biztosít.
Kiváló anyagminőség és tartósság 
A lámpa strapabíró, eloxált repülőipari alumínium háza ellenáll az ütéseknek és a víz behatolásának, így tökéletesen alkalmazható zord környezetben is. A vízállóság biztosítja, hogy akár esőben vagy nedves körülmények között is megbízhatóan működjön, míg az ütésállóság megvédi az eszközt a kisebb balesetek során.
Smart Power Control és praktikus funkciók 
Az innovatív Smart Power Control technológia segít optimalizálni az energiafelhasználást, így a lámpa minden üzemmódban a lehető legjobb teljesítményt nyújtja. A Direct-to-Low funkció lehetővé teszi, hogy azonnal az alacsony fényerőre kapcsoljon, amikor diszkrét vagy energiatakarékos világításra van szüksége. A leszerelhető övcsipesz tovább növeli a lámpa hordozhatóságát, így mindig kéznél lehet, amikor szüksége van rá.
Miért válassza a NEBO Torchy 2k HD zseblámpát?
 – Erőteljes, akár 2000 lumenes fényerő a maximális világításért.
 – Többféle üzemmód minden helyzethez, a hosszú üzemidőtől a vészjelzésig. 
– Tartós, víz- és ütésálló kialakítás a zord környezetekhez. 
– Intelligens energiafelhasználás az optimális teljesítményért. 
– Kompakt és hordozható dizájn leszerelhető övcsipesszel.
Világítson be minden sötét sarkot a NEBO Torchy 2k HD zseblámpával! Tapasztalja meg a maximális fényerő, a tartósság és a sokoldalúság tökéletes kombinációját!</t>
        </is>
      </c>
    </row>
    <row r="1188">
      <c r="A1188" s="3" t="inlineStr">
        <is>
          <t>NEB-FLT-1061-G</t>
        </is>
      </c>
      <c r="B1188" s="2" t="inlineStr">
        <is>
          <t>NEBO NEB-FLT-1061-G TORCHY UV lámpa, Dual UV-A technológia, 2 féle világítási mód, alumínium kialakítás, IPX4</t>
        </is>
      </c>
      <c r="C1188" s="1" t="n">
        <v>7190.0</v>
      </c>
      <c r="D1188" s="7" t="n">
        <f>HYPERLINK("https://www.somogyi.hu/product/nebo-neb-flt-1061-g-torchy-uv-lampa-dual-uv-a-technologia-2-fele-vilagitasi-mod-aluminium-kialakitas-ipx4-neb-flt-1061-g-18388","https://www.somogyi.hu/product/nebo-neb-flt-1061-g-torchy-uv-lampa-dual-uv-a-technologia-2-fele-vilagitasi-mod-aluminium-kialakitas-ipx4-neb-flt-1061-g-18388")</f>
        <v>0.0</v>
      </c>
      <c r="E1188" s="7" t="n">
        <f>HYPERLINK("https://www.somogyi.hu/data/img/product_main_images/small/18388.jpg","https://www.somogyi.hu/data/img/product_main_images/small/18388.jpg")</f>
        <v>0.0</v>
      </c>
      <c r="F1188" s="2" t="inlineStr">
        <is>
          <t>5060945231384</t>
        </is>
      </c>
      <c r="G1188" s="4" t="inlineStr">
        <is>
          <t>Szüksége van egy sokoldalú UV-lámpára, amelyet könnyedén használhat különböző feladatokra?
A NEBO NEB-FLT-1061-G TORCHY UV lámpa a Dual UV-A technológiának és a strapabíró alumínium kialakításnak köszönhetően tökéletes választás minden olyan helyzetben, ahol precíz megvilágításra vagy UV-fényre van szükség. Legyen szó bankjegyek hitelességének ellenőrzéséről, folyadékszivárgás detektálásáról vagy akár szabadidős tevékenységekről, ez a lámpa biztosan megállja a helyét. Az IPX4 vízállóság és a kompakt méret garantálja, hogy mindig kéznél legyen, bárhová is viszi magával.
Kiváló UV-technológia a maximális hatékonyság érdekében
A TORCHY UV lámpa Dual UV-A technológiával működik, amely két 395 nm-es UV LED-et és egy 365 nm-es UV LED-et kombinál, így kiválóan alkalmas különböző felületek és anyagok alapos vizsgálatára. A két különböző hullámhosszú LED lehetővé teszi, hogy a lámpa hatékonyan használható legyen akár professzionális, akár otthoni környezetben, például foltok észlelésére, rovargyűjtéshez, vagy fluoreszkáló anyagokkal végzett munkákhoz.
Kétféle világítási mód a változatos felhasználáshoz
A lámpa kétféle világítási móddal rendelkezik:
- Magas fényerő: Ideális részletes vizsgálatokhoz vagy nagyobb felületek megvilágításához.
- Alacsony fényerő: Energiatakarékos üzemmód hosszabb használathoz, amikor csak gyengébb megvilágítás szükséges.
A nyomógombos vezérlés révén a lámpa könnyen kezelhető, így gyorsan válthat a különböző módok között anélkül, hogy bonyolult beállításokkal kellene foglalkoznia.
Strapabíró és kényelmes kialakítás
A lámpa eloxált alumínium háza rendkívüli strapabíróságot biztosít, miközben könnyű és kényelmesen használható. Az IPX4 vízállósági minősítés lehetővé teszi, hogy nedves környezetben is biztonságosan használhassa, legyen szó kültéri vagy beltéri feladatokról. A mindössze 9,5 cm hosszúságú és 110 g tömegű lámpa rendkívül kompakt, így akár zsebben is könnyedén hordozható.
Energiaellátás és hosszú üzemidő
A TORCHY UV lámpa 3 darab AAA elemmel működik, amelyek hosszú üzemidőt biztosítanak mindkét világítási módban. Az elemek egyszerűen cserélhetők, így a lámpa mindig készen áll a használatra, amikor csak szükség van rá.
Miért válassza a NEBO NEB-FLT-1061-G TORCHY UV lámpát?
– Dual UV-A technológia (395 nm + 365 nm LED-ek) a különböző alkalmazásokhoz 
– Kétféle világítási mód a sokoldalú felhasználás érdekében 
– Nyomógombos vezérlés, amely egyszerű és gyors működtetést tesz lehetővé 
– Strapabíró alumínium ház és IPX4 vízállóság, hogy bármilyen környezetben használható legyen 
– Kompakt és könnyű kialakítás, amely kényelmes hordozhatóságot biztosít 
– Hosszú üzemidő a 3 darab AAA elemnek köszönhetően
A NEBO NEB-FLT-1061-G TORCHY UV lámpa nemcsak egy egyszerű zseblámpa, hanem egy megbízható eszköz, amely számos feladathoz tökéletesen alkalmazható. Válassza ezt a minőségi UV-lámpát, ha precíz és tartós fényforrást keres különleges feladatokhoz!</t>
        </is>
      </c>
    </row>
    <row r="1189">
      <c r="A1189" s="3" t="inlineStr">
        <is>
          <t>NEB-FLT-1015-G</t>
        </is>
      </c>
      <c r="B1189" s="2" t="inlineStr">
        <is>
          <t>NEBO NEB-FLT-1015-G Davinci 18000 zseblámpa, 18.000 lm - 800 lm, 5 funkció, 2x zoom, IP67, SPC, STC, 5000 mAh</t>
        </is>
      </c>
      <c r="C1189" s="1" t="n">
        <v>76890.0</v>
      </c>
      <c r="D1189" s="7" t="n">
        <f>HYPERLINK("https://www.somogyi.hu/product/nebo-neb-flt-1015-g-davinci-18000-zseblampa-18-000-lm-800-lm-5-funkcio-2x-zoom-ip67-spc-stc-5000-mah-neb-flt-1015-g-18318","https://www.somogyi.hu/product/nebo-neb-flt-1015-g-davinci-18000-zseblampa-18-000-lm-800-lm-5-funkcio-2x-zoom-ip67-spc-stc-5000-mah-neb-flt-1015-g-18318")</f>
        <v>0.0</v>
      </c>
      <c r="E1189" s="7" t="n">
        <f>HYPERLINK("https://www.somogyi.hu/data/img/product_main_images/small/18318.jpg","https://www.somogyi.hu/data/img/product_main_images/small/18318.jpg")</f>
        <v>0.0</v>
      </c>
      <c r="F1189" s="2" t="inlineStr">
        <is>
          <t>5060945230592</t>
        </is>
      </c>
      <c r="G1189" s="4" t="inlineStr">
        <is>
          <t>Melyik zseblámpa képes az éjszakát nappallá varázsolni? A NEBO DAVINCI 18000 választ ad mindenre!
Ez a zseblámpa teljesítményt, minőséget és sokoldalúságot kínál. A maximum 18000 lumen fényerővel és a 2x-es zoom lehetőségével ez az elemlámpa bármilyen sötét területet könnyedén bevilágít.
Az eloxált, repülőipari minőségű alumínium ház nemcsak erős és tartós, de elegáns megjelenést is kölcsönöz a lámpának. Az IP67-es vízállóság és az ütésállóság gond nélkül megbirkózik az extrém körülményekkel is.
A Smart Power Control (intelligens teljesítmény-szabályozás) és a Smart Temperature Control (intelligens hőmérséklet-szabályozás) technológiák intelligensen kezelik az energiát és a hőmérsékletet, hogy mindig optimális teljesítményen használhassa a terméket. 
A zseblámpa négy fényerőbeállítással rendelkezik: turbo (18000 lm), nagy (10000 lm), közepes (5000 lm) és kis (800 lm), valamint villogó üzemmóddal (18000 lm).
A beépített 5000 mAh, 7,4 V akkumulátor hosszú üzemidőt biztosít, így nem kell aggódnia az állandó újratöltés miatt. A DAVINCI 18000 kompakt mérete lehetővé teszi, hogy mindenhová magával vihesse.
Ne hagyja ki ezt a lehetőséget, és tegye kosarába még ma, hogy megtapasztalhassa a DAVINCI 18000 erejét és fényét! 
Legyen felkészülve bármilyen helyzetre, legyen szó akár sátrazásról, vadászatról vagy vészhelyzetekről.</t>
        </is>
      </c>
    </row>
    <row r="1190">
      <c r="A1190" s="3" t="inlineStr">
        <is>
          <t>NEB-1003-G</t>
        </is>
      </c>
      <c r="B1190" s="2" t="inlineStr">
        <is>
          <t>NEBO NEB-1003-G SLYDE KING 2K zseblámpa és szerelőlámpa, 2000-500 lumen, 4X-es zoom, eloxált alumínium test, IP67</t>
        </is>
      </c>
      <c r="C1190" s="1" t="n">
        <v>21390.0</v>
      </c>
      <c r="D1190" s="7" t="n">
        <f>HYPERLINK("https://www.somogyi.hu/product/nebo-neb-1003-g-slyde-king-2k-zseblampa-es-szerelolampa-2000-500-lumen-4x-es-zoom-eloxalt-aluminium-test-ip67-neb-1003-g-18385","https://www.somogyi.hu/product/nebo-neb-1003-g-slyde-king-2k-zseblampa-es-szerelolampa-2000-500-lumen-4x-es-zoom-eloxalt-aluminium-test-ip67-neb-1003-g-18385")</f>
        <v>0.0</v>
      </c>
      <c r="E1190" s="7" t="n">
        <f>HYPERLINK("https://www.somogyi.hu/data/img/product_main_images/small/18385.jpg","https://www.somogyi.hu/data/img/product_main_images/small/18385.jpg")</f>
        <v>0.0</v>
      </c>
      <c r="F1190" s="2" t="inlineStr">
        <is>
          <t>5060945230714</t>
        </is>
      </c>
      <c r="G1190" s="4" t="inlineStr">
        <is>
          <t>Olyan zseblámpát keres, amely a legextrémebb körülmények között is megállja a helyét?
A NEBO NEB-1003-G SLYDE KING 2K zseblámpa és szerelőlámpa egy kiemelkedően sokoldalú, professzionális világítóeszköz, amelyet a legkeményebb kihívásokhoz terveztek. Az akár 2000 lumen fényerő, a 4x állítható zoom, valamint a víz- és ütésálló IP67-es minősítés garantálja, hogy minden helyzetben számíthat rá. Legyen szó szabadtéri tevékenységről, munkáról vagy vészhelyzeti használatról, ez a lámpa tökéletes megoldást nyújt minden igényre.
Kiváló teljesítményű zseblámpa és szerelőlámpa
A lámpa különböző üzemmódokban használható, így mindig az adott körülményhez igazíthatja a fényerőt:
- Zseblámpa nagy fényerő (2000 lumen): Akár 2 órán át üzemel, és 409 méteres távolságot világít meg, ideális széles területek bevilágítására.
- Zseblámpa kis fényerő (200 lumen): Hosszú, akár 12 órás üzemidő, 125 méteres hatótávval, amely energiatakarékos használatot biztosít.
- Szerelőlámpa nagy fényerő (500 lumen): 4 órás működési idővel és 34 méteres fényhatótávval, tökéletes precíziós munkákhoz.
- Szerelőlámpa kis fényerő (50 lumen): Akár 24 órás üzemidő, 10 méteres hatótávval, amely hosszabb munkafolyamatokhoz is ideális.
- Piros fény üzemmódok: A nagy fényerejű piros fény (40 lumen) akár 6 órán át, míg a kis fényerejű piros fény (4 lumen) 60 órán át képes működni. A villogó piros fény üzemmód vészhelyzetekben nyújt kiváló láthatóságot.
Praktikus és strapabíró kialakítás
A SLYDE KING 2K eloxált repülőipari minőségű alumíniumból készült, amely ellenáll a mechanikai sérüléseknek, miközben könnyű és kényelmes használatot biztosít. Az IP67 vízállóság garantálja, hogy a lámpa ellenáll az esőnek, fröccsenő víznek és poros környezetnek, így kültéri tevékenységek során is kiválóan használható. Az ütésállóság tovább növeli a tartósságot, így bírja a nehéz munkakörülményeket is.
Kényelmes kezelés és modern funkciók
A zseblámpa rendelkezik 4x-es állítható zoommal, amely lehetővé teszi a fénysugár fókuszálását vagy szélesebb szórását, az aktuális igényeknek megfelelően. Az állítható fényerő minden üzemmódban személyre szabható, a memóriával rendelkező kapcsoló pedig megjegyzi az utolsó beállítást. A Direct-to-Red funkció lehetővé teszi a közvetlen átkapcsolást a piros fény üzemmódba, amely diszkrét világítást és vészjelzést biztosít.
Erős mágneses talp és gumírozott markolat
Az erős mágneses talp lehetővé teszi a lámpa biztonságos rögzítését fém felületeken, így szabadon hagyja a kezeket a munkavégzéshez. A gumírozott markolat biztos fogást nyújt még nedves körülmények között is, növelve a használat kényelmét és biztonságát.
Újratölthető akkumulátor és energiatakarékos működés
A lámpa beépített újratölthető akkumulátorral rendelkezik, amelyet a mellékelt USB-C kábel segítségével gyorsan feltölthet. Az alacsony akkumulátor szint kijelző időben figyelmeztet a töltési igényre, így elkerülheti a kellemetlen helyzeteket.
Kompakt méret és hordozhatóság
A 17,3 cm hosszú és 4,3 cm átmérőjű lámpa összetolható kialakításának köszönhetően könnyen hordozható, így kényelmesen elfér akár a zsebben, akár a szerszámos ládában.
Miért érdemes a NEBO NEB-1003-G SLYDE KING 2K lámpát választani?
– 2000 lumen maximális fényerő, amely kiváló teljesítményt nyújt minden körülmény között 
– 4x-es zoom funkció, amely lehetővé teszi a fókuszált vagy széles fényszórást 
– Direct-to-Red funkció, amely azonnali váltást biztosít a piros fény üzemmódra 
– IP67 víz- és ütésállóság, amely garantálja a strapabíróságot 
– Újratölthető akkumulátor USB-C csatlakozással, hosszú üzemidővel 
– Erős mágneses talp és gumírozott markolat a kényelmes használat érdekében 
– Különféle fényerő- és üzemmódok, amelyek széles körű felhasználást tesznek lehetővé
A NEBO NEB-1003-G SLYDE KING 2K nemcsak egy zseblámpa, hanem egy megbízható társa minden helyzetben. Válassza ezt a professzionális lámpát, ha a legjobbat szeretné! Ideális választás munkához, szabadtéri tevékenységekhez és vészhelyzetekhez egyaránt.</t>
        </is>
      </c>
    </row>
    <row r="1191">
      <c r="A1191" s="3" t="inlineStr">
        <is>
          <t>NEB-HLP-1005-G</t>
        </is>
      </c>
      <c r="B1191" s="2" t="inlineStr">
        <is>
          <t>NEBO NEB-HLP-1005-G MYCRO 500 fejlámpa, 500-30 lumen, újratölthető, IPX4, állítható dőlésszög</t>
        </is>
      </c>
      <c r="C1191" s="1" t="n">
        <v>14490.0</v>
      </c>
      <c r="D1191" s="7" t="n">
        <f>HYPERLINK("https://www.somogyi.hu/product/nebo-neb-hlp-1005-g-mycro-500-fejlampa-500-30-lumen-ujratoltheto-ipx4-allithato-dolesszog-neb-hlp-1005-g-18384","https://www.somogyi.hu/product/nebo-neb-hlp-1005-g-mycro-500-fejlampa-500-30-lumen-ujratoltheto-ipx4-allithato-dolesszog-neb-hlp-1005-g-18384")</f>
        <v>0.0</v>
      </c>
      <c r="E1191" s="7" t="n">
        <f>HYPERLINK("https://www.somogyi.hu/data/img/product_main_images/small/18384.jpg","https://www.somogyi.hu/data/img/product_main_images/small/18384.jpg")</f>
        <v>0.0</v>
      </c>
      <c r="F1191" s="2" t="inlineStr">
        <is>
          <t>5060063229584</t>
        </is>
      </c>
      <c r="G1191" s="4" t="inlineStr">
        <is>
          <t>Kézre álló, sokoldalú és strapabíró fejlámpát keres mindennapi vagy professzionális használatra?
A NEBO NEB-HLP-1005-G MYCRO 500 fejlámpa ideális választás azoknak, akik kompakt, mégis erőteljes fényforrást keresnek, amely könnyedén alkalmazkodik a legkülönfélébb feladatokhoz. A lámpa 500 lumenes maximális fényereje és a különféle üzemmódok garantálják, hogy minden helyzetben a legmegfelelőbb világítást nyújtsa. Az USB-C újratölthetőség, a víz- és ütésálló kialakítás, valamint az állítható dőlésszög még kényelmesebbé és praktikusabbá teszi a használatát.
Kiemelkedő fényerő és többféle üzemmód
A MYCRO 500 fejlámpa különféle világítási módokat kínál, így mindig a megfelelő fényt biztosítja:
- Spotlámpa turbó üzemmód (500 lumen): Rövid ideig tartó, intenzív megvilágítás, akár 90 méteres hatótávval.
- Magas spot üzemmód (200 lumen): Egy órás üzemidővel és 60 méteres hatótávval ideális kültéri tevékenységekhez.
- Közepes spot üzemmód (100 lumen): Két órán keresztül biztosít 42 méteres hatótávolságú fényt.
- Alacsony spot üzemmód (30 lumen): Három órán át használható, így kiválóan alkalmas közelre irányított, energiatakarékos világításhoz.
Fényvető COB üzemmódok:
- Magas (200 lumen): 25 percig működik, és 24 méteres távolságot világít meg.
- Alacsony (50 lumen): Egy órán át használható, 11 méteres hatótávval.
- COB piros fény (25 lumen): 35 perces üzemidőt biztosít 8 méteres távolságban, ami ideális éjszakai használathoz vagy diszkrét megvilágításhoz.
Tartós, kényelmes és vízálló kialakítás
A lámpa háza eloxált alumíniumból készült, amely ellenáll a mindennapi használat során fellépő sérüléseknek. Az IPX4-es vízállósági besorolás biztosítja, hogy a fejlámpa nedves környezetben vagy esőben is megbízhatóan működjön. Az állítható fejpánt és a levehető sapkalámpa csipesz lehetővé teszi, hogy kényelmesen viselje, vagy rögzítse sapkára, sisakra, így mindkét keze szabadon maradhat.
Okos energiafelhasználás és egyszerű töltés
A lámpa SPC (Smart Power Control) funkciója biztosítja, hogy a fényerő folyamatosan stabil maradjon, miközben optimalizálja az energiafogyasztást. Az USB-C porton keresztül gyorsan és kényelmesen tölthető fel a beépített 200 mAh kapacitású Li-Po akkumulátor, amely hosszú üzemidőt biztosít. A beépített akkumulátor töltöttség jelzőfigyelmezteti a felhasználót, amikor a lámpa töltése szükségessé válik.
Kompakt méret, nagy teljesítmény
A mindössze 85 gramm tömegű és 9,5 cm hosszú fejlámpa könnyen hordozható, így ideális választás túrázáshoz, kempingezéshez, barkácsoláshoz vagy akár professzionális felhasználáshoz. Kis mérete ellenére rendkívüli teljesítményt nyújt, és a Direct-to-Red funkció révén azonnal átválthat piros fény üzemmódra, ami különösen hasznos lehet éjszakai használat során.
Miért érdemes a NEBO NEB-HLP-1005-G MYCRO 500 fejlámpát választani?
– Kompakt és könnyű, mégis rendkívül erőteljes, akár 500 lumenes fényerővel 
– Többféle üzemmód, amelyek minden helyzethez megfelelő fényt biztosítanak 
– SPC technológia, amely optimalizálja az energiafelhasználást 
– USB-C újratölthetőség, amely gyors és kényelmes töltést tesz lehetővé 
– Állítható fejpánt és levehető sapkalámpa csipesz a maximális kényelem érdekében 
– IPX4 vízállóság és strapabíró alumínium ház, amely bármilyen környezetben megállja a helyét
Ha egy megbízható, könnyen hordozható és sokoldalú fejlámpát keres, a NEBO MYCRO 500 garantáltan megfelel elvárásainak! Válassza ezt a prémium kategóriás világítóeszközt, és legyen mindig jól megvilágítva az útja, bármerre is jár!</t>
        </is>
      </c>
    </row>
    <row r="1192">
      <c r="A1192" s="3" t="inlineStr">
        <is>
          <t>NEB-POC-1003-G</t>
        </is>
      </c>
      <c r="B1192" s="2" t="inlineStr">
        <is>
          <t>NEBO NEB-POC-1003-G Columbo keychain, zseblámpa, 100 lm, 1 óra, 56 m, kulcstartó gyűrű, eloxált alumínium, IPX7, 1xAAA elem</t>
        </is>
      </c>
      <c r="C1192" s="1" t="n">
        <v>4290.0</v>
      </c>
      <c r="D1192" s="7" t="n">
        <f>HYPERLINK("https://www.somogyi.hu/product/nebo-neb-poc-1003-g-columbo-keychain-zseblampa-100-lm-1-ora-56-m-kulcstarto-gyuru-eloxalt-aluminium-ipx7-1xaaa-elem-neb-poc-1003-g-18382","https://www.somogyi.hu/product/nebo-neb-poc-1003-g-columbo-keychain-zseblampa-100-lm-1-ora-56-m-kulcstarto-gyuru-eloxalt-aluminium-ipx7-1xaaa-elem-neb-poc-1003-g-18382")</f>
        <v>0.0</v>
      </c>
      <c r="E1192" s="7" t="n">
        <f>HYPERLINK("https://www.somogyi.hu/data/img/product_main_images/small/18382.jpg","https://www.somogyi.hu/data/img/product_main_images/small/18382.jpg")</f>
        <v>0.0</v>
      </c>
      <c r="F1192" s="2" t="inlineStr">
        <is>
          <t>5060945230639</t>
        </is>
      </c>
      <c r="G1192" s="4" t="inlineStr">
        <is>
          <t>Olyan kompakt, mégis erőteljes zseblámpát keres, amely mindig kéznél van?
A NEBO NEB-POC-1003-G Columbo Keychain zseblámpa tökéletes megoldást nyújt mindazoknak, akik kis méretű, mégis rendkívül erős fényforrást keresnek a mindennapi használatra. Az eloxált repülőipari minőségű alumíniumból készült ház garantálja a hosszú élettartamot és a strapabíró kialakítást. A kulcstartó gyűrűvel ellátott lámpa mindig kéznél lehet, így szükség esetén gyorsan használható.
Kiváló fényerő és praktikus működés
A Columbo Keychain zseblámpa 100 lumenes maximális fényereje és 56 méteres hatótávolsága lehetővé teszi, hogy sötétben is kiválóan lásson. Egy darab AAA elemmel működik, amely 1 órás üzemidőt biztosít maximális fényerő mellett. A zseblámpa kis mérete ellenére kimagasló teljesítményt nyújt, így ideális lehet kulcscsomón, táskában vagy zsebben hordva.
Strapabíró, időjárásálló kialakítás
A lámpa IPX7 vízállósági besorolással rendelkezik, így akár esőben vagy nedves környezetben is biztonságosan használható. Emellett az ütésálló kialakítás garantálja, hogy a zseblámpa ellenálljon a kisebb ütődéseknek, eséseknek. Az eloxált alumínium burkolat nemcsak tartós, hanem elegáns megjelenést is kölcsönöz a lámpának.
Kompakt méret, mindig kéznél
A mindössze 8,61 cm hosszúságú és 1,8 cm átmérőjű zseblámpa szinte észrevétlenül elfér a kulcstartón vagy a zsebben. A kulcstartó gyűrű segítségével könnyen rögzíthető, így sosem marad világítás nélkül. A kis méretű kialakítás mellett a lámpa kényelmes fogást biztosít, így szükség esetén gyorsan használható.
Miért válassza a NEBO NEB-POC-1003-G Columbo Keychain zseblámpát?
– 100 lumenes fényerő, amely kiváló megvilágítást nyújt akár 56 méteres távolságban
 – Kompakt és könnyű kialakítás, amely bárhol elfér, és mindig kéznél van 
– Eloxált alumínium ház, amely tartóssá és elegánssá teszi a lámpát 
– IPX7 vízállóság és ütésálló kialakítás, így bármilyen időjárási körülmények között használható 
– Egyszerű működtetés, egyetlen AAA elemmel (tartozék)
Akár mindennapi használatra, akár vészhelyzetekre keres egy praktikus zseblámpát, a NEBO Columbo Keychain megbízható társ lesz a sötétben. Válassza ezt a prémium minőségű, hordozható fényforrást, amely mindig készen áll, amikor szüksége van rá!</t>
        </is>
      </c>
    </row>
    <row r="1193">
      <c r="A1193" s="3" t="inlineStr">
        <is>
          <t>NEB-HLP-1008-G</t>
        </is>
      </c>
      <c r="B1193" s="2" t="inlineStr">
        <is>
          <t>NEBO NEB-HLP-1008-G EINSTEIN 600+ fejlámpa, 600 lm - 60 lm, 90 m, 4 funkció, IPX6, USB-C</t>
        </is>
      </c>
      <c r="C1193" s="1" t="n">
        <v>12390.0</v>
      </c>
      <c r="D1193" s="7" t="n">
        <f>HYPERLINK("https://www.somogyi.hu/product/nebo-neb-hlp-1008-g-einstein-600-fejlampa-600-lm-60-lm-90-m-4-funkcio-ipx6-usb-c-neb-hlp-1008-g-18383","https://www.somogyi.hu/product/nebo-neb-hlp-1008-g-einstein-600-fejlampa-600-lm-60-lm-90-m-4-funkcio-ipx6-usb-c-neb-hlp-1008-g-18383")</f>
        <v>0.0</v>
      </c>
      <c r="E1193" s="7" t="n">
        <f>HYPERLINK("https://www.somogyi.hu/data/img/product_main_images/small/18383.jpg","https://www.somogyi.hu/data/img/product_main_images/small/18383.jpg")</f>
        <v>0.0</v>
      </c>
      <c r="F1193" s="2" t="inlineStr">
        <is>
          <t>5060945231223</t>
        </is>
      </c>
      <c r="G1193" s="4" t="inlineStr">
        <is>
          <t>Szüksége van egy erős, mégis könnyen kezelhető fejlámpára, amely extrém körülmények között is megbízhatóan teljesít?
A NEBO NEB-HLP-1008-G EINSTEIN 600+ fejlámpa kiemelkedő teljesítményével és sokoldalúságával ideális választás túrázáshoz, kempingezéshez, szerelési munkákhoz vagy bármilyen szabadtéri tevékenységhez. A fejlámpa 600 lumenes maximális fényereje és az IPX6 víz- és ütésállóság garantálja, hogy akár esőben, poros környezetben vagy nehéz terepen is megbízható fényforrásként szolgáljon.
Kiváló fényerő és többféle üzemmód minden helyzetre
Az EINSTEIN 600+ fejlámpa négy különböző üzemmóddal rendelkezik, amelyek lehetővé teszik a fényerő optimális beállítását a különböző feladatokhoz:
- Turbó üzemmód (600 lumen): Intenzív megvilágítás, akár 90 méteres hatótávolsággal – tökéletes rövid ideig tartó, nagy fényigényű helyzetekhez.
- Magas fényerő (240 lumen): Akár 1 óra 50 perc folyamatos működés, 56 méteres hatótávval – ideális általános használatra.
- Alacsony fényerő (60 lumen): 4 órás üzemidőt biztosít, 28 méteres távolságig világít – energiatakarékos megoldás, ha hosszabb ideig van szükség mérsékelt fényre.
- Stroboszkóp üzemmód (600 lumen): 2 órás működési idő és 90 méteres hatótáv, amely vészhelyzetekben vagy jelzésadáskor hasznos.
Strapabíró kialakítás a hosszú élettartam érdekében
A lámpa háza eloxált repülőipari minőségű alumíniumból készült, amely kiemelkedő tartósságot biztosít, miközben megőrzi a könnyű súlyt. Az IPX6 minősítésű vízállóság révén ellenáll az intenzív vízpermetnek, így esős időben vagy nedves környezetben is biztonságosan használható. Az ütésálló kialakítás pedig garantálja, hogy a lámpa a legkeményebb körülmények között is megállja a helyét.
Kényelmes használat és praktikus funkciók
A fejlámpa állítható és levehető fejpánttal rendelkezik, amely biztosítja a kényelmes viseletet hosszabb ideig tartó használat során is. A levehető fejpánt lehetővé teszi, hogy a lámpát más módon is rögzíthesse, például az acél övcsipesz segítségével sapkára vagy zsebre. Az erős mágneses talp praktikus megoldást nyújt, ha fémfelületre szeretné rögzíteni a lámpát, így mindkét keze szabadon maradhat.
Energiatakarékos és gyorsan tölthető akkumulátor
A fejlámpa egy beépített 700 mAh kapacitású Li-Ion akkumulátorral működik, amely USB-C csatlakozón keresztül gyorsan újratölthető. Az újratölthetőség környezetbarát megoldást jelent, miközben költséghatékonyabb is hosszú távon. Az akkumulátor hosszú üzemideje biztosítja, hogy a lámpa mindig készen álljon a használatra, amikor szüksége van rá.
Miért érdemes a NEBO NEB-HLP-1008-G EINSTEIN 600+ fejlámpát választani?
– Nagy fényerejű fejlámpa, akár 600 lumenes teljesítménnyel 
– Négy üzemmód, amelyek minden helyzetben megfelelő világítást nyújtanak 
– Strapabíró eloxált alumínium ház, amely ütés- és vízálló (IPX6) 
– USB-C csatlakozóval tölthető, energiatakarékos akkumulátorral 
– Állítható fejpánt és levehető övcsipesz a maximális kényelem és sokoldalú rögzíthetőség érdekében 
– Erős mágneses talp, amely lehetővé teszi a lámpa fémfelülethez rögzítését 
– Kompakt méret, mindössze 85 grammos tömeggel, így kényelmesen hordozható
Akár kültéri kalandokhoz, akár műhelymunkákhoz keres megbízható fényforrást, a NEBO EINSTEIN 600+ fejlámpa tökéletes társ lesz minden helyzetben. Válassza ezt a prémium minőségű fejlámpát, és élvezze a kiváló világítást bárhol, bármikor!</t>
        </is>
      </c>
    </row>
    <row r="1194">
      <c r="A1194" s="3" t="inlineStr">
        <is>
          <t>NEB-POC-1000-G</t>
        </is>
      </c>
      <c r="B1194" s="2" t="inlineStr">
        <is>
          <t>NEBO NEB-POC-1000-G Inspector 500+ zseblámpa, 500 lm - 20 lm, 8 üzemmód, Flex Power, Smart Power Control, IPX7, 750 mAh, mágneses</t>
        </is>
      </c>
      <c r="C1194" s="1" t="n">
        <v>14290.0</v>
      </c>
      <c r="D1194" s="7" t="n">
        <f>HYPERLINK("https://www.somogyi.hu/product/nebo-neb-poc-1000-g-inspector-500-zseblampa-500-lm-20-lm-8-uzemmod-flex-power-smart-power-control-ipx7-750-mah-magneses-neb-poc-1000-g-17825","https://www.somogyi.hu/product/nebo-neb-poc-1000-g-inspector-500-zseblampa-500-lm-20-lm-8-uzemmod-flex-power-smart-power-control-ipx7-750-mah-magneses-neb-poc-1000-g-17825")</f>
        <v>0.0</v>
      </c>
      <c r="E1194" s="7" t="n">
        <f>HYPERLINK("https://www.somogyi.hu/data/img/product_main_images/small/17825.jpg","https://www.somogyi.hu/data/img/product_main_images/small/17825.jpg")</f>
        <v>0.0</v>
      </c>
      <c r="F1194" s="2" t="inlineStr">
        <is>
          <t>5060063228945</t>
        </is>
      </c>
      <c r="G1194" s="4" t="inlineStr">
        <is>
          <t>Hogyan lehet egy zseblámpa ennyire sokoldalú, modern és mégis egyszerűen kezelhető? 
Az új NEBO INSPECTOR 500+ nem csupán világít, de igazi technológiai csoda a zsebében. 
A készülék repülőipari minőségű, eloxált alumíniumból készült, és IPX7-es vízállósággal, valamint ütésállósággal rendelkezik, így a legextrémebb körülmények között is megbízható.
A Flex-Power™ (lehetővé teszi a lámpa újratölthető vagy AAA elemekkel való működtetését) és a Smart Power Control (intelligens teljesítmény-szabályozás) lehetővé teszik, hogy változatos energiaforrásokat használjon: az újratölthető 750 mAh akkumulátort vagy akár AAA elemeket is. 
Az alacsony töltöttségi szint kijelzése folyamatosan tájékoztatja az akku állapotáról. Az eltávolítható tartónak és az állítható dőlésszögnek köszönhetően tökéletesen igazíthatja a fény irányát. 
Az erős mágneses vég pedig biztosítja, hogy a lámpa szükség esetén egy fémfelületen is megállja a helyét.
A NEBO INSPECTOR 500+ fényerőssége is lenyűgöző: az akkumulátorral üzemeltetve az irányított fény mód turbó (500 lm), nagy (250 lm), közepes (25 lm) és villogó (250 lm) fényerősségekkel, míg a szórt fény mód turbó (400 lm), nagy (200 lm), kis (20 lm) és villogó (200 lm) fényerősségekkel rendelkezik. Ha AAA elemmel használja, az irányított fény mód turbó (140 lm), nagy (70 lm), közepes (7 lm) és villogó (70 lm) fényerősségekkel működik. 
Mindezeket kompakt méretben, csak 16 x ∅1,8 cm.
Fedezze fel a NEBO INSPECTOR 500+ zseblámpa kivételes tulajdonságait, és tegye az életét könnyebbé és világosabbá, mint valaha!</t>
        </is>
      </c>
    </row>
    <row r="1195">
      <c r="A1195" s="6" t="inlineStr">
        <is>
          <t xml:space="preserve">   Világítás / Sapkalámpa, fejlámpa</t>
        </is>
      </c>
      <c r="B1195" s="6" t="inlineStr">
        <is>
          <t/>
        </is>
      </c>
      <c r="C1195" s="6" t="inlineStr">
        <is>
          <t/>
        </is>
      </c>
      <c r="D1195" s="6" t="inlineStr">
        <is>
          <t/>
        </is>
      </c>
      <c r="E1195" s="6" t="inlineStr">
        <is>
          <t/>
        </is>
      </c>
      <c r="F1195" s="6" t="inlineStr">
        <is>
          <t/>
        </is>
      </c>
      <c r="G1195" s="6" t="inlineStr">
        <is>
          <t/>
        </is>
      </c>
    </row>
    <row r="1196">
      <c r="A1196" s="3" t="inlineStr">
        <is>
          <t>PLF 19</t>
        </is>
      </c>
      <c r="B1196" s="2" t="inlineStr">
        <is>
          <t>Home PLF 19 LED fejlámpa, 80 lm, 19 LED, 4 funkció, állítható dőlésszög</t>
        </is>
      </c>
      <c r="C1196" s="1" t="n">
        <v>2890.0</v>
      </c>
      <c r="D1196" s="7" t="n">
        <f>HYPERLINK("https://www.somogyi.hu/product/home-plf-19-led-fejlampa-80-lm-19-led-4-funkcio-allithato-dolesszog-plf-19-8348","https://www.somogyi.hu/product/home-plf-19-led-fejlampa-80-lm-19-led-4-funkcio-allithato-dolesszog-plf-19-8348")</f>
        <v>0.0</v>
      </c>
      <c r="E1196" s="7" t="n">
        <f>HYPERLINK("https://www.somogyi.hu/data/img/product_main_images/small/08348.jpg","https://www.somogyi.hu/data/img/product_main_images/small/08348.jpg")</f>
        <v>0.0</v>
      </c>
      <c r="F1196" s="2" t="inlineStr">
        <is>
          <t>5998312772560</t>
        </is>
      </c>
      <c r="G1196" s="4" t="inlineStr">
        <is>
          <t>A PLF 19-es LED-es fejlámpa bárkinek praktikus lehet, hiszen segítségével kezeink szabadon maradnak, ha a sötétben keresni vagy szerelni kell valamit. A fejlámpa 19 db Led-et tartalmaz, amelyek 4 különböző funkció szerint villognak. Szerkezete rendkívül praktikus, hiszen ellenáll a víznek, így esőben is bátran használható. Állítható dőlésszöge: 135°. Tápellátása: 3 X AAA [1,5 V]. Válassza a minőségi termékeket és rendeljen webáruházunkból!</t>
        </is>
      </c>
    </row>
    <row r="1197">
      <c r="A1197" s="3" t="inlineStr">
        <is>
          <t>HLM 5R</t>
        </is>
      </c>
      <c r="B1197" s="2" t="inlineStr">
        <is>
          <t>Home HLM 5R LED tölthető fejlámpa, fém, 1000 lm, 3 funkció, fókuszálható, 1200 mAh, ~9 óra üzemidő</t>
        </is>
      </c>
      <c r="C1197" s="1" t="n">
        <v>7490.0</v>
      </c>
      <c r="D1197" s="7" t="n">
        <f>HYPERLINK("https://www.somogyi.hu/product/home-hlm-5r-led-toltheto-fejlampa-fem-1000-lm-3-funkcio-fokuszalhato-1200-mah-9-ora-uzemido-hlm-5r-16170","https://www.somogyi.hu/product/home-hlm-5r-led-toltheto-fejlampa-fem-1000-lm-3-funkcio-fokuszalhato-1200-mah-9-ora-uzemido-hlm-5r-16170")</f>
        <v>0.0</v>
      </c>
      <c r="E1197" s="7" t="n">
        <f>HYPERLINK("https://www.somogyi.hu/data/img/product_main_images/small/16170.jpg","https://www.somogyi.hu/data/img/product_main_images/small/16170.jpg")</f>
        <v>0.0</v>
      </c>
      <c r="F1197" s="2" t="inlineStr">
        <is>
          <t>5999084942021</t>
        </is>
      </c>
      <c r="G1197" s="4" t="inlineStr">
        <is>
          <t>A HLM 5R LED-es fém fejlámpa tölthető kivitelben készült, mely egy töltéssel akár 9 órát üzemel. Töltési ideje 4 óra. A fejlámpa 2 választható fényerővel és villogó funkcióval ellátott a praktikus használat érdekében. A készülék dőlésszöge állítható. 
A fejlámpa kiválóan használható túrázáshoz, hegymászáshoz, de akár a szerelésben is segítségére lehet.</t>
        </is>
      </c>
    </row>
    <row r="1198">
      <c r="A1198" s="3" t="inlineStr">
        <is>
          <t>HLP4BK</t>
        </is>
      </c>
      <c r="B1198" s="2" t="inlineStr">
        <is>
          <t>Home HLP4BK fejlámpa, 3W, 260 lumen, elemes</t>
        </is>
      </c>
      <c r="C1198" s="1" t="n">
        <v>2290.0</v>
      </c>
      <c r="D1198" s="7" t="n">
        <f>HYPERLINK("https://www.somogyi.hu/product/home-hlp4bk-fejlampa-3w-260-lumen-elemes-hlp4bk-18557","https://www.somogyi.hu/product/home-hlp4bk-fejlampa-3w-260-lumen-elemes-hlp4bk-18557")</f>
        <v>0.0</v>
      </c>
      <c r="E1198" s="7" t="n">
        <f>HYPERLINK("https://www.somogyi.hu/data/img/product_main_images/small/18557.jpg","https://www.somogyi.hu/data/img/product_main_images/small/18557.jpg")</f>
        <v>0.0</v>
      </c>
      <c r="F1198" s="2" t="inlineStr">
        <is>
          <t>5999084965754</t>
        </is>
      </c>
      <c r="G1198" s="4" t="inlineStr">
        <is>
          <t>Kíváncsi, melyik fejlámpa a legjobb választás éjszakai túrázáshoz vagy munkához? A Home HLP4BK fejlámpa megadja a válaszokat!
Ez a nagy fényerejű, 3 W-os COB LED lámpa 260 lumen fényerőt biztosít, amely tökéletes látási viszonyokat teremt minden helyzetben. A strapabíró műanyag lámpatest hosszú élettartamot garantál, így nem kell aggódnia az idő előtti meghibásodás miatt. A kényelmes, rugalmas gumipánt hosszabb használat során is komfortos viseletet biztosít. A dönthető lámpafej lehetővé teszi a fény irányának precíz beállítását, míg az állítható fényerő (50% és 100%) alkalmazkodik az Ön igényeihez.
Ne hagyja ki ezt a remek lehetőséget, szerezze be a Home HLP4BK fejlámpát még ma, és élvezze a tökéletes megvilágítást bárhol, bármikor!</t>
        </is>
      </c>
    </row>
    <row r="1199">
      <c r="A1199" s="3" t="inlineStr">
        <is>
          <t>HLM 4</t>
        </is>
      </c>
      <c r="B1199" s="2" t="inlineStr">
        <is>
          <t>Home HLM 4 LED fejlámpa, fém, 800 lm, 3 funkció, fókuszálható</t>
        </is>
      </c>
      <c r="C1199" s="1" t="n">
        <v>6590.0</v>
      </c>
      <c r="D1199" s="7" t="n">
        <f>HYPERLINK("https://www.somogyi.hu/product/home-hlm-4-led-fejlampa-fem-800-lm-3-funkcio-fokuszalhato-hlm-4-16169","https://www.somogyi.hu/product/home-hlm-4-led-fejlampa-fem-800-lm-3-funkcio-fokuszalhato-hlm-4-16169")</f>
        <v>0.0</v>
      </c>
      <c r="E1199" s="7" t="n">
        <f>HYPERLINK("https://www.somogyi.hu/data/img/product_main_images/small/16169.jpg","https://www.somogyi.hu/data/img/product_main_images/small/16169.jpg")</f>
        <v>0.0</v>
      </c>
      <c r="F1199" s="2" t="inlineStr">
        <is>
          <t>5999084942014</t>
        </is>
      </c>
      <c r="G1199" s="4" t="inlineStr">
        <is>
          <t>A HLM 4 LED-es fejlámpa strapabíró fém lámpatesttel és a 800 lm nagy fényerejű LED kombinációjával kifejezetten ajánlott horgászathoz, vadászathoz, éjjeli túrázáshoz vagy munkához. A fejlámpa 2 választható fényerővel és villogás funkcióval ellátott a praktikus használat érdekében. A készülék dőlésszöge állítható. 
Tápellátásához 4 db 1,5 V (AA) elem szükséges, melyet a csomag nem tartalmaz. 
A fejlámpa kiválóan használható túrázáshoz, hegymászáshoz, de akár a szerelésben is segítségére lehet.</t>
        </is>
      </c>
    </row>
    <row r="1200">
      <c r="A1200" s="3" t="inlineStr">
        <is>
          <t>HLP 7RP</t>
        </is>
      </c>
      <c r="B1200" s="2" t="inlineStr">
        <is>
          <t>Home HLP 7RP LED tölthető fejlámpa, 100 lm, PIR mozgásérzékelő, 5 funkció, 1200 mAh, ~4 óra üzemidő</t>
        </is>
      </c>
      <c r="C1200" s="1" t="n">
        <v>6290.0</v>
      </c>
      <c r="D1200" s="7" t="n">
        <f>HYPERLINK("https://www.somogyi.hu/product/home-hlp-7rp-led-toltheto-fejlampa-100-lm-pir-mozgaserzekelo-5-funkcio-1200-mah-4-ora-uzemido-hlp-7rp-16159","https://www.somogyi.hu/product/home-hlp-7rp-led-toltheto-fejlampa-100-lm-pir-mozgaserzekelo-5-funkcio-1200-mah-4-ora-uzemido-hlp-7rp-16159")</f>
        <v>0.0</v>
      </c>
      <c r="E1200" s="7" t="n">
        <f>HYPERLINK("https://www.somogyi.hu/data/img/product_main_images/small/16159.jpg","https://www.somogyi.hu/data/img/product_main_images/small/16159.jpg")</f>
        <v>0.0</v>
      </c>
      <c r="F1200" s="2" t="inlineStr">
        <is>
          <t>5999084941918</t>
        </is>
      </c>
      <c r="G1200" s="4" t="inlineStr">
        <is>
          <t>A HLP 7RP LED-es fejlámpa tölthető kivitelben készült, mely egy töltéssel akár 4 órát üzemel. Micro USB kábellel tölthető fel, mellyel 2,5 óra alatt eléri a teljes töltöttségét. A sokoldalú felhasználást a kézmozdulattal kapcsolható PIR mozgásérzékelő szenzor, a több funkcióban kapcsolható fényerő és az állítható dőlésszög biztosítja. 1 db 100 lm fényerejű fehér vagy 2 piros LED működése választható a fejlámpán.  
A fejlámpa kiválóan használható túrázáshoz, hegymászáshoz, de akár a szerelésben is segítségére lehet.</t>
        </is>
      </c>
    </row>
    <row r="1201">
      <c r="A1201" s="3" t="inlineStr">
        <is>
          <t>HLP 4</t>
        </is>
      </c>
      <c r="B1201" s="2" t="inlineStr">
        <is>
          <t>Home HLP 4 LED fejlámpa, 260 lm, 3 W COB LED, dönthető lámpafej, állítható fényerő</t>
        </is>
      </c>
      <c r="C1201" s="1" t="n">
        <v>2790.0</v>
      </c>
      <c r="D1201" s="7" t="n">
        <f>HYPERLINK("https://www.somogyi.hu/product/home-hlp-4-led-fejlampa-260-lm-3-w-cob-led-dontheto-lampafej-allithato-fenyero-hlp-4-15236","https://www.somogyi.hu/product/home-hlp-4-led-fejlampa-260-lm-3-w-cob-led-dontheto-lampafej-allithato-fenyero-hlp-4-15236")</f>
        <v>0.0</v>
      </c>
      <c r="E1201" s="7" t="n">
        <f>HYPERLINK("https://www.somogyi.hu/data/img/product_main_images/small/15236.jpg","https://www.somogyi.hu/data/img/product_main_images/small/15236.jpg")</f>
        <v>0.0</v>
      </c>
      <c r="F1201" s="2" t="inlineStr">
        <is>
          <t>5999084932701</t>
        </is>
      </c>
      <c r="G1201" s="4" t="inlineStr">
        <is>
          <t>Mindig praktikus, ha tartunk magunknál egy fejlámpát legyen szó barlangászatról vagy egy több napos biciklitúráról. A HLP 4 típusú LED-es fejlámpa számos előnyös tulajdonsággal rendelkezik.
A lámpatest strapabíró műanyagból készült. A fejlámpa viselése rendkívül kényelmes, hiszen egy rugalmas gumipánt rögzíti. Előnye továbbá, hogy dönthető a lámpafej, illetve állítható fényerő (50%, 100%). Tápellátás: 3 x 1,5 V (AAA) elem. Válassza a minőségi termékeket és rendeljen webáruházunkból!</t>
        </is>
      </c>
    </row>
    <row r="1202">
      <c r="A1202" s="6" t="inlineStr">
        <is>
          <t xml:space="preserve">   Világítás / Kerékpárlámpa</t>
        </is>
      </c>
      <c r="B1202" s="6" t="inlineStr">
        <is>
          <t/>
        </is>
      </c>
      <c r="C1202" s="6" t="inlineStr">
        <is>
          <t/>
        </is>
      </c>
      <c r="D1202" s="6" t="inlineStr">
        <is>
          <t/>
        </is>
      </c>
      <c r="E1202" s="6" t="inlineStr">
        <is>
          <t/>
        </is>
      </c>
      <c r="F1202" s="6" t="inlineStr">
        <is>
          <t/>
        </is>
      </c>
      <c r="G1202" s="6" t="inlineStr">
        <is>
          <t/>
        </is>
      </c>
    </row>
    <row r="1203">
      <c r="A1203" s="3" t="inlineStr">
        <is>
          <t>BV 10</t>
        </is>
      </c>
      <c r="B1203" s="2" t="inlineStr">
        <is>
          <t>Home BV 10 kerékpárlámpa készlet, 2 db fehér vagy piros LED, szilikon lámpatest, 3 funkció</t>
        </is>
      </c>
      <c r="C1203" s="1" t="n">
        <v>1550.0</v>
      </c>
      <c r="D1203" s="7" t="n">
        <f>HYPERLINK("https://www.somogyi.hu/product/home-bv-10-kerekparlampa-keszlet-2-db-feher-vagy-piros-led-szilikon-lampatest-3-funkcio-bv-10-11999","https://www.somogyi.hu/product/home-bv-10-kerekparlampa-keszlet-2-db-feher-vagy-piros-led-szilikon-lampatest-3-funkcio-bv-10-11999")</f>
        <v>0.0</v>
      </c>
      <c r="E1203" s="7" t="n">
        <f>HYPERLINK("https://www.somogyi.hu/data/img/product_main_images/small/11999.jpg","https://www.somogyi.hu/data/img/product_main_images/small/11999.jpg")</f>
        <v>0.0</v>
      </c>
      <c r="F1203" s="2" t="inlineStr">
        <is>
          <t>5999084902117</t>
        </is>
      </c>
      <c r="G1203" s="4" t="inlineStr">
        <is>
          <t>Szeretne biztonságosan közlekedni kerékpárjával, akár sötétben is? A Home BV 10 kerékpárlámpa készlet a rugalmas, szilikon lámpatestnek köszönhetően könnyedén rögzíthető bármilyen kerékpárhoz, biztosítva a láthatóságot és ezzel a biztonságos közlekedést. 
A készletben található lámpák mindegyike 2 db nagy fényerejű LED-del rendelkezik, amelyek választhatóan piros vagy fehér fényt bocsátanak ki, rövid és gyors villogó, valamint folyamatos fényfunkciókkal. Az időjárásnak ellenálló kivitel gondoskodik arról, hogy a lámpák megbízhatóan működjenek még rossz időjárási körülmények között is. Minden lámpát 2 x 3 V (CR 2032) elem táplál, amelyek a csomag részét képezik, így azonnal használatba vehetők. A lámpák kompakt mérete, mindössze 3x3x4 cm, lehetővé teszi, hogy könnyen szállíthatóak és tárolhatóak legyenek. 
Válassza a Home BV 10 kerékpárlámpa készletet, és tekerjen biztonságosan minden körülmények között!</t>
        </is>
      </c>
    </row>
    <row r="1204">
      <c r="A1204" s="6" t="inlineStr">
        <is>
          <t xml:space="preserve">   Világítás / Szerelőlámpa</t>
        </is>
      </c>
      <c r="B1204" s="6" t="inlineStr">
        <is>
          <t/>
        </is>
      </c>
      <c r="C1204" s="6" t="inlineStr">
        <is>
          <t/>
        </is>
      </c>
      <c r="D1204" s="6" t="inlineStr">
        <is>
          <t/>
        </is>
      </c>
      <c r="E1204" s="6" t="inlineStr">
        <is>
          <t/>
        </is>
      </c>
      <c r="F1204" s="6" t="inlineStr">
        <is>
          <t/>
        </is>
      </c>
      <c r="G1204" s="6" t="inlineStr">
        <is>
          <t/>
        </is>
      </c>
    </row>
    <row r="1205">
      <c r="A1205" s="3" t="inlineStr">
        <is>
          <t>WL 3W+7L</t>
        </is>
      </c>
      <c r="B1205" s="2" t="inlineStr">
        <is>
          <t>Home WL 3W+7L LED szerelőlámpa, 3 W COB LED, 7 fehér LED, ABS, 3 üzemmód, 1800 mAh, mágneses, kampós, kihajtható</t>
        </is>
      </c>
      <c r="C1205" s="1" t="n">
        <v>12990.0</v>
      </c>
      <c r="D1205" s="7" t="n">
        <f>HYPERLINK("https://www.somogyi.hu/product/home-wl-3w-7l-led-szerelolampa-3-w-cob-led-7-feher-led-abs-3-uzemmod-1800-mah-magneses-kampos-kihajthato-wl-3w-7l-13952","https://www.somogyi.hu/product/home-wl-3w-7l-led-szerelolampa-3-w-cob-led-7-feher-led-abs-3-uzemmod-1800-mah-magneses-kampos-kihajthato-wl-3w-7l-13952")</f>
        <v>0.0</v>
      </c>
      <c r="E1205" s="7" t="n">
        <f>HYPERLINK("https://www.somogyi.hu/data/img/product_main_images/small/13952.jpg","https://www.somogyi.hu/data/img/product_main_images/small/13952.jpg")</f>
        <v>0.0</v>
      </c>
      <c r="F1205" s="2" t="inlineStr">
        <is>
          <t>5999084920043</t>
        </is>
      </c>
      <c r="G1205" s="4" t="inlineStr">
        <is>
          <t>Gyakran szokott szerelni, illetve barkácsolni? Ez esetben érdemes a legpraktikusabb eszközökkel körbevenni magát.
A LED-es újratölthető szerelőlámpa előnye, hogy akár magunkkal is vihetjük egy-egy autó vagy bicikli útra, hiszen amellett, hogy egy strapabíró ABS lámpatesttel lett ellátva, 1 db 3 W COB LED-el + 7 db fehér LED-el is rendelkezik. A minőségi kialakításnak köszönhetően 3 kapcsolható üzemmód közül is választhatunk. Egy kiváló minőségű újratölthető Li-Ion akkumulátorral van ellátva, de akár tölthetjük hálózati adapterről vagy egy 12 V-os szivargyújtó töltővel.
A könnyed és praktikus használat érdekében az eszköz kihajtható, illetve a hátulján és az alján erős mágnesek találhatóak. Válassza Ön is a minőségi termékeket és rendeljen webáruházunkból!
A termék 1:1 méretben nyomtatható energiacímkéje megtalálható a weboldal „Letölthető tartalmak” menüpontjában.</t>
        </is>
      </c>
    </row>
    <row r="1206">
      <c r="A1206" s="3" t="inlineStr">
        <is>
          <t>PL 20</t>
        </is>
      </c>
      <c r="B1206" s="2" t="inlineStr">
        <is>
          <t>Home PL 20 szerelőlámpa, 60 W, E27, IP54, fém rács, gumi markolat, kettős szigetelés</t>
        </is>
      </c>
      <c r="C1206" s="1" t="n">
        <v>8390.0</v>
      </c>
      <c r="D1206" s="7" t="n">
        <f>HYPERLINK("https://www.somogyi.hu/product/home-pl-20-szerelolampa-60-w-e27-ip54-fem-racs-gumi-markolat-kettos-szigeteles-pl-20-7758","https://www.somogyi.hu/product/home-pl-20-szerelolampa-60-w-e27-ip54-fem-racs-gumi-markolat-kettos-szigeteles-pl-20-7758")</f>
        <v>0.0</v>
      </c>
      <c r="E1206" s="7" t="n">
        <f>HYPERLINK("https://www.somogyi.hu/data/img/product_main_images/small/07758.jpg","https://www.somogyi.hu/data/img/product_main_images/small/07758.jpg")</f>
        <v>0.0</v>
      </c>
      <c r="F1206" s="2" t="inlineStr">
        <is>
          <t>5998312767207</t>
        </is>
      </c>
      <c r="G1206" s="4" t="inlineStr">
        <is>
          <t>Ha kint a szabadban szerelünk, fontos ügyelnünk arra, hogy olyan világító eszközt válasszunk, amely a természeti viszonyoknak megfelelően kellően strapabíró.
A PL 20 kültéri szerelőlámpa megtestesíti mindazt, amit egy kültéri kivitelre szánt lámpától elvárhatunk. Gumírozott markolattal van ellátva, így masszívan meglehet fogni, továbbá egy fém rács védi az amúgy is vastag üvegburát. A könnyed használat érdekében a szerelőlámpa felakasztható füllel rendelkezik, valamint 5 m gumivezetékkel. Külön előnye, hogy porcelán foglalattal lett ellátva. 
Válassza a minőségi termékeket és rendeljen webáruházunkból!</t>
        </is>
      </c>
    </row>
    <row r="1207">
      <c r="A1207" s="3" t="inlineStr">
        <is>
          <t>WL 07</t>
        </is>
      </c>
      <c r="B1207" s="2" t="inlineStr">
        <is>
          <t>Home WL 07 LED szerelőlámpa, 3 W COB LED, 4 fehér LED, 150 lm, 2 üzemmód, mágneses</t>
        </is>
      </c>
      <c r="C1207" s="1" t="n">
        <v>2390.0</v>
      </c>
      <c r="D1207" s="7" t="n">
        <f>HYPERLINK("https://www.somogyi.hu/product/home-wl-07-led-szerelolampa-3-w-cob-led-4-feher-led-150-lm-2-uzemmod-magneses-wl-07-15235","https://www.somogyi.hu/product/home-wl-07-led-szerelolampa-3-w-cob-led-4-feher-led-150-lm-2-uzemmod-magneses-wl-07-15235")</f>
        <v>0.0</v>
      </c>
      <c r="E1207" s="7" t="n">
        <f>HYPERLINK("https://www.somogyi.hu/data/img/product_main_images/small/15235.jpg","https://www.somogyi.hu/data/img/product_main_images/small/15235.jpg")</f>
        <v>0.0</v>
      </c>
      <c r="F1207" s="2" t="inlineStr">
        <is>
          <t>5999084932695</t>
        </is>
      </c>
      <c r="G1207" s="4" t="inlineStr">
        <is>
          <t>Egy megbízható és sokoldalú szerelőlámpát keres, amely tökéletes társ lehet barkácsoláshoz vagy műhelymunkákhoz? A Home WL 07 LED szerelőlámpa kiváló választás, ha egy erős és praktikus világításra van szüksége.
Ez a szerelőlámpa egy 1x3W COB LED-del és négy fehér LED-del rendelkezik, amelyek összesen 150 lumen fényerőt biztosítanak. A strapabíró ABS lámpatest garantálja a termék hosszú élettartamát és ellenálló képességét a mindennapi használat során. A puha tapintású felület jó fogást biztosít, így hosszabb ideig is kényelmesen használható.
A lámpa két kapcsolható üzemmóddal rendelkezik, amelyek között választhat: a COB LED a nagy felületű, egyenletes megvilágításért, míg a négy LED a célzott, pontos világításért. Az erős mágnes a lámpatest hátulján lehetővé teszi, hogy könnyedén rögzíthető legyen fémes felületeken, így mindig kéznél van, amikor szükség van rá. A tápellátás 4 x 1,5 V (AAA) elemmel működik, amelyek nem tartoznak a csomaghoz. A lámpa méretei (19,5 x 6 x 3,3 cm) ideálisak a hordozhatóság és a hatékony megvilágítás szempontjából. Fontos megjegyezni, hogy a termék kizárólag displayben, 12 db-os kiszerelésben rendelhető.
Válassza a Home WL 07 LED szerelőlámpát, ha egy erős, megbízható és praktikus világítási megoldást keres. Rendelje meg most, és élvezze a munka során nyújtott kényelmet és hatékonyságot!</t>
        </is>
      </c>
    </row>
    <row r="1208">
      <c r="A1208" s="6" t="inlineStr">
        <is>
          <t xml:space="preserve">   Világítás / Nagyítós lámpa</t>
        </is>
      </c>
      <c r="B1208" s="6" t="inlineStr">
        <is>
          <t/>
        </is>
      </c>
      <c r="C1208" s="6" t="inlineStr">
        <is>
          <t/>
        </is>
      </c>
      <c r="D1208" s="6" t="inlineStr">
        <is>
          <t/>
        </is>
      </c>
      <c r="E1208" s="6" t="inlineStr">
        <is>
          <t/>
        </is>
      </c>
      <c r="F1208" s="6" t="inlineStr">
        <is>
          <t/>
        </is>
      </c>
      <c r="G1208" s="6" t="inlineStr">
        <is>
          <t/>
        </is>
      </c>
    </row>
    <row r="1209">
      <c r="A1209" s="3" t="inlineStr">
        <is>
          <t>NKL 022F</t>
        </is>
      </c>
      <c r="B1209" s="2" t="inlineStr">
        <is>
          <t>Home NKL 022F pótfénycső NKL 022 nagyítós lámpához, 12 W, 720 lm, 6500 K</t>
        </is>
      </c>
      <c r="C1209" s="1" t="n">
        <v>3190.0</v>
      </c>
      <c r="D1209" s="7" t="n">
        <f>HYPERLINK("https://www.somogyi.hu/product/home-nkl-022f-potfenycso-nkl-022-nagyitos-lampahoz-12-w-720-lm-6500-k-nkl-022f-8476","https://www.somogyi.hu/product/home-nkl-022f-potfenycso-nkl-022-nagyitos-lampahoz-12-w-720-lm-6500-k-nkl-022f-8476")</f>
        <v>0.0</v>
      </c>
      <c r="E1209" s="7" t="n">
        <f>HYPERLINK("https://www.somogyi.hu/data/img/product_main_images/small/08476.jpg","https://www.somogyi.hu/data/img/product_main_images/small/08476.jpg")</f>
        <v>0.0</v>
      </c>
      <c r="F1209" s="2" t="inlineStr">
        <is>
          <t>5998312773758</t>
        </is>
      </c>
      <c r="G1209" s="4" t="inlineStr">
        <is>
          <t>Egy megbízható megoldást keres, hogy nagyítós lámpája mindig a legjobb fényerőt nyújthassa? A Home NKL 022F pótfénycső a Home NKL 022 nagyítós lámpához pontosan az, amire szüksége van. 
Ez a speciálisan tervezett pótfénycső biztosítja, hogy a nagyítós lámpája mindig optimális fényerővel világíthassa meg a munkaterületet, így a részletek még egy hosszú munkanap végén is világosan és tisztán láthatóak maradnak.
A Home NKL 022F pótfénycső kulcsfontosságú jellemzői közé tartozik a könnyű cserélhetőség, ami lehetővé teszi, hogy a fényerő ne csökkenjen az idő múlásával. Ez a pótfénycső kifejezetten a Home NKL 022 nagyítós lámpához lett kialakítva, így garantálva a tökéletes illeszkedést és működést.
A cserélhető pótfénycső nem csak a fényerőt tartja magas szinten, hanem hosszabb élettartamot is biztosít a nagyítós lámpának. Így Ön hosszú távon is biztos lehet abban, hogy lámpája megfelelő megvilágítást nyújt minden aprólékos munkához.
Ne engedje, hogy a csökkenő fényerő befolyásolja a munkájának minőségét! A Home NKL 022F pótfénycsővel könnyedén fenntarthatja nagyítós lámpája fényerejét, így biztosítva, hogy a precíziós feladatok elvégzése mindig a legjobb fényviszonyok mellett történjen.</t>
        </is>
      </c>
    </row>
    <row r="1210">
      <c r="A1210" s="3" t="inlineStr">
        <is>
          <t>NKLF T5</t>
        </is>
      </c>
      <c r="B1210" s="2" t="inlineStr">
        <is>
          <t>Home NKLF T5 pótfénycső NKL 01 nagyítós lámpához 22 W, 1450 lm, 6500 K</t>
        </is>
      </c>
      <c r="C1210" s="1" t="n">
        <v>3290.0</v>
      </c>
      <c r="D1210" s="7" t="n">
        <f>HYPERLINK("https://www.somogyi.hu/product/home-nklf-t5-potfenycso-nkl-01-nagyitos-lampahoz-22-w-1450-lm-6500-k-nklf-t5-8702","https://www.somogyi.hu/product/home-nklf-t5-potfenycso-nkl-01-nagyitos-lampahoz-22-w-1450-lm-6500-k-nklf-t5-8702")</f>
        <v>0.0</v>
      </c>
      <c r="E1210" s="7" t="n">
        <f>HYPERLINK("https://www.somogyi.hu/data/img/product_main_images/small/08702.jpg","https://www.somogyi.hu/data/img/product_main_images/small/08702.jpg")</f>
        <v>0.0</v>
      </c>
      <c r="F1210" s="2" t="inlineStr">
        <is>
          <t>5998312775882</t>
        </is>
      </c>
      <c r="G1210" s="4" t="inlineStr">
        <is>
          <t>Szüksége van pótfénycsőre, amely képes visszaadni nagyítós lámpája eredeti fényerejét? A Home NKLF T5 pótfénycső a NKL 01 nagyítós lámpához az Ön számára ideális választás lehet, mivel ez a különleges fényforrás kifejezetten úgy lett tervezve, hogy tökéletesen illeszkedjen a NKL 01 típusú nagyítós lámpákhoz, és számos más modellhez is.
Ez a magas minőségű pótfénycső 22W teljesítményű, amely képes 1450 lumen fényáramot biztosítani, így garantálva a világos és tiszta megvilágítást minden szükséges helyzetben. A 6500k színhőmérsékletű hidegfény tökéletes választás mindenféle pontos és aprólékos munkához, segítve a felhasználókat a részletek kiemelésében és a színek pontos megkülönböztetésében.
A ∅185mm/T5 méret tökéletesen passzol a legtöbb nagyítós lámpához, így biztosítva a kompatibilitást és egyszerű cserét. Az energiaosztály G és a súlyozott energiafogyasztás 22KWh/1000h azt jelenti, hogy ez a pótfénycső nem csak hatékonyan világít, hanem gazdaságos is hosszú távon.
Ne hagyja, hogy a rossz fényviszony hátráltassa munkáját! A Home NKLF T5 pótfénycsővel biztosíthatja, hogy nagyítós lámpája mindig a legjobb fényt nyújtsa, így segítve Önt a legapróbb részletek pontos megfigyelésében és a munkájának precíz elvégzésében.</t>
        </is>
      </c>
    </row>
    <row r="1211">
      <c r="A1211" s="3" t="inlineStr">
        <is>
          <t>NKL 5D</t>
        </is>
      </c>
      <c r="B1211" s="2" t="inlineStr">
        <is>
          <t>Home NKL 5D pótlencse nagyítós lámpához, 5 dioptria nagyítás, NKLL 05, NKL 01</t>
        </is>
      </c>
      <c r="C1211" s="1" t="n">
        <v>3790.0</v>
      </c>
      <c r="D1211" s="7" t="n">
        <f>HYPERLINK("https://www.somogyi.hu/product/home-nkl-5d-potlencse-nagyitos-lampahoz-5-dioptria-nagyitas-nkll-05-nkl-01-nkl-5d-5667","https://www.somogyi.hu/product/home-nkl-5d-potlencse-nagyitos-lampahoz-5-dioptria-nagyitas-nkll-05-nkl-01-nkl-5d-5667")</f>
        <v>0.0</v>
      </c>
      <c r="E1211" s="7" t="n">
        <f>HYPERLINK("https://www.somogyi.hu/data/img/product_main_images/small/05667.jpg","https://www.somogyi.hu/data/img/product_main_images/small/05667.jpg")</f>
        <v>0.0</v>
      </c>
      <c r="F1211" s="2" t="inlineStr">
        <is>
          <t>5998312750056</t>
        </is>
      </c>
      <c r="G1211" s="4" t="inlineStr">
        <is>
          <t>Van már nagyítós lámpája, de nagyobb nagyítási képességre vágyik finom munkákhoz? A Home NKL 5D pótlencse tökéletes megoldást kínál, hogy nagyítós lámpáját még hatékonyabbá tegye. 
Ez a minőségi üveg nagyítólencse ∅125 mm átmérővel büszkélkedhet, és 2,25-szörös (5 dioptria) nagyítást nyújt, ami kiemelkedően részletes képet biztosít, legyen szó elektronikai szerelésről, finom kézműves munkákról, vagy akár olvasásról.
A lencse univerzálisan felhasználható a legtöbb nagyítós lámpatípushoz, így rugalmas megoldást kínál különféle igények kielégítésére. Különösen ajánlott az NKLL 05 és NKL 01 típusokhoz, ahol a pótlencse egyszerűen integrálható, így biztosítva, hogy a meglévő eszköz még többféle feladat elvégzésére legyen alkalmas.
Ne hagyja, hogy a korlátozott nagyítás befolyásolja a munkájának minőségét vagy a hobbija élvezetét!</t>
        </is>
      </c>
    </row>
    <row r="1212">
      <c r="A1212" s="3" t="inlineStr">
        <is>
          <t>NKLL 06</t>
        </is>
      </c>
      <c r="B1212" s="2" t="inlineStr">
        <is>
          <t>Home NKLL 06 LED-es nagyítós asztali lámpa, 30 hidegfényű LED, 6500 K, 400 lm, 3 dioptria nagyítás, 12 dioptria másodlagos lencse</t>
        </is>
      </c>
      <c r="C1212" s="1" t="n">
        <v>18490.0</v>
      </c>
      <c r="D1212" s="7" t="n">
        <f>HYPERLINK("https://www.somogyi.hu/product/home-nkll-06-led-es-nagyitos-asztali-lampa-30-hidegfenyu-led-6500-k-400-lm-3-dioptria-nagyitas-12-dioptria-masodlagos-lencse-nkll-06-15366","https://www.somogyi.hu/product/home-nkll-06-led-es-nagyitos-asztali-lampa-30-hidegfenyu-led-6500-k-400-lm-3-dioptria-nagyitas-12-dioptria-masodlagos-lencse-nkll-06-15366")</f>
        <v>0.0</v>
      </c>
      <c r="E1212" s="7" t="n">
        <f>HYPERLINK("https://www.somogyi.hu/data/img/product_main_images/small/15366.jpg","https://www.somogyi.hu/data/img/product_main_images/small/15366.jpg")</f>
        <v>0.0</v>
      </c>
      <c r="F1212" s="2" t="inlineStr">
        <is>
          <t>5999084934002</t>
        </is>
      </c>
      <c r="G1212" s="4" t="inlineStr">
        <is>
          <t>Szüksége van egy megbízható nagyítós lámpára, amely éles és tiszta fényt biztosít aprólékos munkáihoz? A Home NKLL 06 LED-es nagyítós asztali lámpa ideális választás mindazok számára, akik precíz megvilágítást igényelnek hobbitevékenységükhöz, olvasáshoz vagy bármilyen finom munkához, ahol a részletek kiemelkedően fontosak.
Ez a modern nagyítós lámpa egy stabil, asztallapra helyezhető talppal rendelkezik, ami lehetővé teszi, hogy könnyedén pozícionálja a kívánt helyen. A 30 darab SMD 5630 LED biztosítja a hidegfényű (6500 K) megvilágítást, amely 400 lumen fényerővel ragyogja be a munkaterületet, így minden apró részlet világosan láthatóvá válik.
A ∅90 mm átmérőjű üveg nagyítólencse 3 dioptriás nagyítást nyújt, ami tökéletesen alkalmas általános használatra, míg a másodlagos lencse 12 dioptriás extra nagyítást biztosít, lehetővé téve még a legapróbb részletek megfigyelését is. A ki- és bekapcsolható funkció tovább növeli a felhasználói kényelmet, míg a 1,45 méter hosszú csatlakozókábel és a könnyű, csupán 0,85 kg tömeg biztosítja a lámpa könnyű mozgathatóságát és állíthatóságát.
Fontos megjegyezni, hogy a lámpatestben lévő LED fényforrás nem cserélhető, azonban a G energiaosztályú körfénycső gazdaságos és hatékony világítást garantál hosszú távon.
Ne hagyja, hogy a nem megfelelő világítás hátráltassa a munkáját! A Home NKLL 06 LED-es nagyítós asztali lámpa az ideális segítség minden olyan tevékenységhez, ahol a fény és a nagyítás kulcsfontosságú.</t>
        </is>
      </c>
    </row>
    <row r="1213">
      <c r="A1213" s="3" t="inlineStr">
        <is>
          <t>NKL 022</t>
        </is>
      </c>
      <c r="B1213" s="2" t="inlineStr">
        <is>
          <t>Home NKL 022 LED nagyítós lámpa, 12 W, 450 lm, 3 dioptria nagyítás, 12 dioptria másodlagos lencse</t>
        </is>
      </c>
      <c r="C1213" s="1" t="n">
        <v>14490.0</v>
      </c>
      <c r="D1213" s="7" t="n">
        <f>HYPERLINK("https://www.somogyi.hu/product/home-nkl-022-led-nagyitos-lampa-12-w-450-lm-3-dioptria-nagyitas-12-dioptria-masodlagos-lencse-nkl-022-8475","https://www.somogyi.hu/product/home-nkl-022-led-nagyitos-lampa-12-w-450-lm-3-dioptria-nagyitas-12-dioptria-masodlagos-lencse-nkl-022-8475")</f>
        <v>0.0</v>
      </c>
      <c r="E1213" s="7" t="n">
        <f>HYPERLINK("https://www.somogyi.hu/data/img/product_main_images/small/08475.jpg","https://www.somogyi.hu/data/img/product_main_images/small/08475.jpg")</f>
        <v>0.0</v>
      </c>
      <c r="F1213" s="2" t="inlineStr">
        <is>
          <t>5998312773741</t>
        </is>
      </c>
      <c r="G1213" s="4" t="inlineStr">
        <is>
          <t>Van már olyan nagyítós lámpája, amely nem csak erős fényerővel világítja meg a munkaterületet, de két különböző nagyítási szintet is kínál? A Home NKL 022 LED nagyítós lámpa minden igényt kielégítő megoldás azok számára, akik részletes munkát végeznek, legyen az elektronikai javítás, finom kézműves tevékenységek vagy akár hobbimodellezés.
Ez a lámpa asztallapra helyezhető talppal rendelkezik, ami biztosítja a stabil használatot, és a 450 lumen fényerőnek köszönhetően világos és tiszta látási körülményeket teremt. A ∅90 mm átmérőjű üveg nagyítólencse 3 dioptriás nagyítást biztosít, míg a beépített másodlagos lencse 12 dioptriás nagyítással rendelkezik, így még a legapróbb részleteket is élesen láthatja.
A lámpa körfénycsöve ∅115 mm átmérőjű és 12 W teljesítményű, ami egyenletes és árnyékmentes megvilágítást nyújt. A felhajtható, karcolást gátló védőfedél megőrzi a lencse tisztaságát és biztonságát, amikor a lámpa nem használatban van. Az 1,5 méteres hálózati kábel és a 230 V∼ / 50 Hz / 12 W tápellátás biztosítja, hogy a lámpa kényelmesen elhelyezhető és használható legyen bármely munkaállomáson.
A lámpa méretei – a fej 14x18cm, a szár 22cm, és a talp 21x11x10cm – tökéletes egyensúlyt teremtenek a kompaktság és a funkcionalitás között. A pótfénycső (NKL 022F) opció tovább növeli a termék hosszú távú használatának kényelmét és gazdaságosságát.
Ne hagyja, hogy a rossz megvilágítás vagy a nem megfelelő nagyítás hátráltassa a precíz munkavégzést!</t>
        </is>
      </c>
    </row>
    <row r="1214">
      <c r="A1214" s="3" t="inlineStr">
        <is>
          <t>NKLL 05</t>
        </is>
      </c>
      <c r="B1214" s="2" t="inlineStr">
        <is>
          <t>Home NKLL 05 LED nagyítós lámpa, 56 hidegfényű LED, 685 lm, 3 vagy 5 dioptria nagyítás</t>
        </is>
      </c>
      <c r="C1214" s="1" t="n">
        <v>30790.0</v>
      </c>
      <c r="D1214" s="7" t="n">
        <f>HYPERLINK("https://www.somogyi.hu/product/home-nkll-05-led-nagyitos-lampa-56-hidegfenyu-led-685-lm-3-vagy-5-dioptria-nagyitas-nkll-05-9787","https://www.somogyi.hu/product/home-nkll-05-led-nagyitos-lampa-56-hidegfenyu-led-685-lm-3-vagy-5-dioptria-nagyitas-nkll-05-9787")</f>
        <v>0.0</v>
      </c>
      <c r="E1214" s="7" t="n">
        <f>HYPERLINK("https://www.somogyi.hu/data/img/product_main_images/small/09787.jpg","https://www.somogyi.hu/data/img/product_main_images/small/09787.jpg")</f>
        <v>0.0</v>
      </c>
      <c r="F1214" s="2" t="inlineStr">
        <is>
          <t>5998312785157</t>
        </is>
      </c>
      <c r="G1214" s="4" t="inlineStr">
        <is>
          <t>Világos és tiszta megvilágításra van szüksége aprólékos munkáihoz? A Home NKLL 05 LED nagyítós lámpa kiváló választás azok számára, akik éles és pontos megvilágítást igényelnek bármilyen aprólékos tevékenységhez, legyen szó hobbiról, precíziós munkáról, vagy csak olvasásról.
Ez a korszerű eszköz 56 darab SMD 2835 LED-del rendelkezik, amelyek hidegfényű, 6500 K színhőmérsékletű fényt biztosítanak, garantálva ezzel a világos és éles látást. A 685 lumen fényerő kiválóan alkalmas minden részlet kiemelésére, miközben a ∅125 mm átmérőjű üveg nagyítólencse 3 dioptriás nagyítást nyújt, így még a legfinomabb részletek is könnyen megfigyelhetőek.
A lámpa további rugalmasságot nyújt az opciós 5 dioptriás lencse (NKL 5D) révén, amely még nagyobb nagyítást tesz lehetővé az igazán aprólékos munkákhoz. Az asztallapra szerelhető kialakítás és a ki-, bekapcsolható funkció praktikus használhatóságot garantál, míg a 1,5 méter hosszú csatlakozókábel és a 2,5 kg tömeg biztosítja a lámpa stabil és kényelmes elhelyezését munkaterületén.
A 230 V~ / 50 Hz / 9 W tápellátás gazdaságos működést biztosít, míg az NKLA 2 állvánnyal való használhatóság lehetővé teszi, hogy állványos lámpaként is funkcionáljon, növelve ezzel a lámpa sokoldalúságát. Fontos megjegyezni, hogy a lámpatestbe épített LED-lámpák nem cserélhetők, azonban az F energiahatékonysági osztály biztosítja, hogy a lámpa hatékony maradjon hosszú távon is.
Tegyen szert a Home NKLL 05 LED nagyítós lámpára, és élvezze a kiemelkedően világos és tiszta megvilágítást, amely minden részletet élesen és pontosan megjelenít, így megkönnyítve a legaprólékosabb munkákat is.</t>
        </is>
      </c>
    </row>
    <row r="1215">
      <c r="A1215" s="3" t="inlineStr">
        <is>
          <t>NKLF</t>
        </is>
      </c>
      <c r="B1215" s="2" t="inlineStr">
        <is>
          <t>Home NKLF pótfénycső NKL 03 nagyítós lámpához, 22 W, 1450 lm, 6500 K</t>
        </is>
      </c>
      <c r="C1215" s="1" t="n">
        <v>3290.0</v>
      </c>
      <c r="D1215" s="7" t="n">
        <f>HYPERLINK("https://www.somogyi.hu/product/home-nklf-potfenycso-nkl-03-nagyitos-lampahoz-22-w-1450-lm-6500-k-nklf-5665","https://www.somogyi.hu/product/home-nklf-potfenycso-nkl-03-nagyitos-lampahoz-22-w-1450-lm-6500-k-nklf-5665")</f>
        <v>0.0</v>
      </c>
      <c r="E1215" s="7" t="n">
        <f>HYPERLINK("https://www.somogyi.hu/data/img/product_main_images/small/05665.jpg","https://www.somogyi.hu/data/img/product_main_images/small/05665.jpg")</f>
        <v>0.0</v>
      </c>
      <c r="F1215" s="2" t="inlineStr">
        <is>
          <t>5998312750032</t>
        </is>
      </c>
      <c r="G1215" s="4" t="inlineStr">
        <is>
          <t>Egy megbízható pótfénycsövet keres, amely biztosítja, hogy nagyítós lámpája mindig a lehető legjobb fényt nyújtsa? A Home NKLF pótfénycső a NKL 03 nagyítós lámpához az ideális választás, amely nem csak ezt a modellt, hanem a legtöbb nagyítós lámpát is képes kiválóan kiszolgálni.
Ez a pótfénycső 22W teljesítménnyel rendelkezik, és képes 1450 lumen fényáramot biztosítani, amely tiszta és világos megvilágítást nyújt minden felhasználási területen. A 6500K színhőmérséklet ideális a legapróbb részletek megfigyeléséhez, mivel a hideg fény segít jobban megkülönböztetni a színeket és a finom textúrákat.
A ∅203mm/T9 méret tökéletesen illeszkedik a NKL 03 és más hasonló nagyítós lámpákhoz, így a csere egyszerű és gyors. Az energiaosztály G és a súlyozott energiafogyasztás 22KWh/1000h azt jelenti, hogy ez a pótfénycső hatékony választás a hosszú távú használatra, így nem csak a fényerő, hanem az energiahatékonyság szempontjából is kiváló.
Ne engedje, hogy a gyengülő fény befolyásolja a munkáját vagy a hobbiját! A Home NKLF pótfénycsővel biztosíthatja, hogy nagyítós lámpája mindig a legfényesebb és legtisztább fényt nyújtsa, így könnyedén látja a legfinomabb részleteket is.</t>
        </is>
      </c>
    </row>
    <row r="1216">
      <c r="A1216" s="3" t="inlineStr">
        <is>
          <t>NKL 01</t>
        </is>
      </c>
      <c r="B1216" s="2" t="inlineStr">
        <is>
          <t>Home NKL 01 nagyítós lámpa, 22 W, asztallapra szerelhető, 900 lm, 3 vagy 5 dioptria nagyítás</t>
        </is>
      </c>
      <c r="C1216" s="1" t="n">
        <v>26890.0</v>
      </c>
      <c r="D1216" s="7" t="n">
        <f>HYPERLINK("https://www.somogyi.hu/product/home-nkl-01-nagyitos-lampa-22-w-asztallapra-szerelheto-900-lm-3-vagy-5-dioptria-nagyitas-nkl-01-5664","https://www.somogyi.hu/product/home-nkl-01-nagyitos-lampa-22-w-asztallapra-szerelheto-900-lm-3-vagy-5-dioptria-nagyitas-nkl-01-5664")</f>
        <v>0.0</v>
      </c>
      <c r="E1216" s="7" t="n">
        <f>HYPERLINK("https://www.somogyi.hu/data/img/product_main_images/small/05664.jpg","https://www.somogyi.hu/data/img/product_main_images/small/05664.jpg")</f>
        <v>0.0</v>
      </c>
      <c r="F1216" s="2" t="inlineStr">
        <is>
          <t>5998312750025</t>
        </is>
      </c>
      <c r="G1216" s="4" t="inlineStr">
        <is>
          <t>Egy stabil asztalra szerelhető lámpát szeretne vásárolni, amely nagyítóval is rendelkezik? Ez esetben jó helyen jár! Az NKL 01 típusú asztali lámpa a 3 dioptriás nagyítást is garantálja. A világítást pedig egy jó minőségű körfénycső (∅184 mm / T5 22 W) szolgáltatja. 
Igény szerint lehetőség van akár az 5 dioptriás lencse, valamint pótfénycső használatára is. A lámpa felhajtható, továbbá karcolást gátló védővel rendelkezik. A termék rendkívül jó fényerőt biztosít, így kiváló megoldást nyújt pl. egyetemisták számára az éjszakai tanuláshoz is. Válassza a minőségi termékeket és rendeljen webáruházunkból
A termék 1:1 méretben nyomtatható energiacímkéje megtalálható a weboldal „Letölthető tartalmak” menüpontjában.</t>
        </is>
      </c>
    </row>
    <row r="1217">
      <c r="A1217" s="6" t="inlineStr">
        <is>
          <t xml:space="preserve">   Világítás / Fényvető, mozgásérzékelő</t>
        </is>
      </c>
      <c r="B1217" s="6" t="inlineStr">
        <is>
          <t/>
        </is>
      </c>
      <c r="C1217" s="6" t="inlineStr">
        <is>
          <t/>
        </is>
      </c>
      <c r="D1217" s="6" t="inlineStr">
        <is>
          <t/>
        </is>
      </c>
      <c r="E1217" s="6" t="inlineStr">
        <is>
          <t/>
        </is>
      </c>
      <c r="F1217" s="6" t="inlineStr">
        <is>
          <t/>
        </is>
      </c>
      <c r="G1217" s="6" t="inlineStr">
        <is>
          <t/>
        </is>
      </c>
    </row>
    <row r="1218">
      <c r="A1218" s="3" t="inlineStr">
        <is>
          <t>0687H</t>
        </is>
      </c>
      <c r="B1218" s="2" t="inlineStr">
        <is>
          <t>GAO 0687H kültéri PIR mozgásérzékelő, max. 1000 W, 12 m érzékelés, IP44, fekete</t>
        </is>
      </c>
      <c r="C1218" s="1" t="n">
        <v>3590.0</v>
      </c>
      <c r="D1218" s="7" t="n">
        <f>HYPERLINK("https://www.somogyi.hu/product/gao-0687h-kulteri-pir-mozgaserzekelo-max-1000-w-12-m-erzekeles-ip44-fekete-0687h-9802","https://www.somogyi.hu/product/gao-0687h-kulteri-pir-mozgaserzekelo-max-1000-w-12-m-erzekeles-ip44-fekete-0687h-9802")</f>
        <v>0.0</v>
      </c>
      <c r="E1218" s="7" t="n">
        <f>HYPERLINK("https://www.somogyi.hu/data/img/product_main_images/small/09802.jpg","https://www.somogyi.hu/data/img/product_main_images/small/09802.jpg")</f>
        <v>0.0</v>
      </c>
      <c r="F1218" s="2" t="inlineStr">
        <is>
          <t>5998312785287</t>
        </is>
      </c>
      <c r="G1218" s="4" t="inlineStr">
        <is>
          <t>Szeretné, ha otthona biztonságosabb és kényelmesebb lenne? A GAO 0687H kültéri PIR mozgásérzékelő tökéletes megoldás, hogy növelje otthona biztonságát és energiamegtakarítását. 
Ez a fekete színű, falra szerelhető mozgásérzékelő megbízható teljesítményt nyújt, így ideális választás kültéri használatra. A mozgásérzékelő maximális kapcsolható teljesítménye 1000 W, ami lehetővé teszi, hogy különböző világítótesteket és elektromos eszközöket csatlakoztasson hozzá. Az érzékelő 180°-os érzékelési szöggel rendelkezik, így széles területet fed le, és a fix 12 méteres érzékelési távolságnak köszönhetően nagy hatótávolságot biztosít. Az állítható világítási idő (10 másodperc és 4 perc között) lehetővé teszi, hogy az igényeinek megfelelően szabályozza a világítás működési idejét. Emellett a fényérzékenység is állítható, így a környezeti fényviszonyokhoz igazíthatja az érzékelő működését.
Az IP44 védettségi fokozat biztosítja, hogy az eszköz ellenáll a fröccsenő víznek és a por behatolásának, így kültéren is megbízhatóan működik. A mozgásérzékelő 230 V~ / 50 Hz tápellátással működik, ami egyszerű és gyors telepítést tesz lehetővé.
Válassza a GAO 0687H kültéri PIR mozgásérzékelőt, hogy otthona biztonságosabb és energiatakarékosabb legyen! Rendelje meg most, és élvezze a mozgásérzékelő által nyújtott kényelmet és nyugalmat!</t>
        </is>
      </c>
    </row>
    <row r="1219">
      <c r="A1219" s="3" t="inlineStr">
        <is>
          <t>PIR 04/WH</t>
        </is>
      </c>
      <c r="B1219" s="2" t="inlineStr">
        <is>
          <t>Home PIR 04/WH fali mozgásérzékelő, passzív infravörös (PIR) szenzor, 180°, 12 m, 1200 W</t>
        </is>
      </c>
      <c r="C1219" s="1" t="n">
        <v>3990.0</v>
      </c>
      <c r="D1219" s="7" t="n">
        <f>HYPERLINK("https://www.somogyi.hu/product/home-pir-04-wh-fali-mozgaserzekelo-passziv-infravoros-pir-szenzor-180-12-m-1200-w-pir-04-wh-9700","https://www.somogyi.hu/product/home-pir-04-wh-fali-mozgaserzekelo-passziv-infravoros-pir-szenzor-180-12-m-1200-w-pir-04-wh-9700")</f>
        <v>0.0</v>
      </c>
      <c r="E1219" s="7" t="n">
        <f>HYPERLINK("https://www.somogyi.hu/data/img/product_main_images/small/09700.jpg","https://www.somogyi.hu/data/img/product_main_images/small/09700.jpg")</f>
        <v>0.0</v>
      </c>
      <c r="F1219" s="2" t="inlineStr">
        <is>
          <t>5998312784358</t>
        </is>
      </c>
      <c r="G1219" s="4" t="inlineStr">
        <is>
          <t>Önnek is fontos otthona biztonsága? Szeretné, ha egy speciális szerkezet figyelné a különféle mozgásokat és jelezné is azokat? Ez esetben feltétlenül érdemes megismerkednie a mozgásérzékelőkkel. 
A PIR 04/WH mozgásérzékelő egy passzív infravörös (PIR) szenzorral van ellátva, amely 180°-os szöget képes érzékelni. Érzékelési távolsága: 12 m. Működtetési ideje: 10 mp - 7 p között állítható. Fényérzékenysége pedig 3 -2000 LUX. A termék előnye, hogy sötétben és világosban is egyaránt működik, továbbá IP44 kültéri kivitelben ellenáll a természeti hatásoknak is. Ha Ön is egy ideális mozgásérzékelő vásárlását tervezi, akkor keresve sem talál jobbat!</t>
        </is>
      </c>
    </row>
    <row r="1220">
      <c r="A1220" s="6" t="inlineStr">
        <is>
          <t xml:space="preserve">   Világítás / Mennyezeti lámpa, fali lámpa</t>
        </is>
      </c>
      <c r="B1220" s="6" t="inlineStr">
        <is>
          <t/>
        </is>
      </c>
      <c r="C1220" s="6" t="inlineStr">
        <is>
          <t/>
        </is>
      </c>
      <c r="D1220" s="6" t="inlineStr">
        <is>
          <t/>
        </is>
      </c>
      <c r="E1220" s="6" t="inlineStr">
        <is>
          <t/>
        </is>
      </c>
      <c r="F1220" s="6" t="inlineStr">
        <is>
          <t/>
        </is>
      </c>
      <c r="G1220" s="6" t="inlineStr">
        <is>
          <t/>
        </is>
      </c>
    </row>
    <row r="1221">
      <c r="A1221" s="3" t="inlineStr">
        <is>
          <t>RCC 18 LED/BK</t>
        </is>
      </c>
      <c r="B1221" s="2" t="inlineStr">
        <is>
          <t>Home RCC 18 LED/BK LED fali és mennyezeti lámpa, 18 W, 2000 lm, IP65, 4000 K, kerek, fekete</t>
        </is>
      </c>
      <c r="C1221" s="1" t="n">
        <v>2490.0</v>
      </c>
      <c r="D1221" s="7" t="n">
        <f>HYPERLINK("https://www.somogyi.hu/product/home-rcc-18-led-bk-led-fali-es-mennyezeti-lampa-18-w-2000-lm-ip65-4000-k-kerek-fekete-rcc-18-led-bk-18204","https://www.somogyi.hu/product/home-rcc-18-led-bk-led-fali-es-mennyezeti-lampa-18-w-2000-lm-ip65-4000-k-kerek-fekete-rcc-18-led-bk-18204")</f>
        <v>0.0</v>
      </c>
      <c r="E1221" s="7" t="n">
        <f>HYPERLINK("https://www.somogyi.hu/data/img/product_main_images/small/18204.jpg","https://www.somogyi.hu/data/img/product_main_images/small/18204.jpg")</f>
        <v>0.0</v>
      </c>
      <c r="F1221" s="2" t="inlineStr">
        <is>
          <t>5999084962265</t>
        </is>
      </c>
      <c r="G1221" s="4" t="inlineStr">
        <is>
          <t>Keres egy megbízható világítási megoldást? A Home RCC 18 LED/BK LED-es fali és mennyezeti lámpa kiváló választás lehet.
Kül- és beltéri használatra egyaránt tervezett, rugalmas burával ellátott kivitelének köszönhetően garantálja a tartósságot és az időjárás viszontagságaival szembeni ellenállást. Energiatakarékos 18W teljesítményével 2000 lumen fényerőt biztosít, mely természetes, 4000 K színhőmérsékletű fényével kellemes atmoszférát teremt.
IP65-ös besorolásának köszönhetően védelemmel rendelkezik a vízsugár ellen minden irányból, így akár egy kerti parti központi világítása is lehet. Kompakt méreteivel (165,8 x 160 x 58 mm) diszkréten illeszkedik környezetébe. Bár a LED fényforrások nem cserélhetők, hosszú élettartamuk révén évekig megbízható fényforrást nyújtanak.
Növelje otthona vagy munkahelye hangulatát a Home RCC 18 LED/BK lámpával, és élvezze a tartós, energiatakarékos világítást!</t>
        </is>
      </c>
    </row>
    <row r="1222">
      <c r="A1222" s="3" t="inlineStr">
        <is>
          <t>RCC 210/WH</t>
        </is>
      </c>
      <c r="B1222" s="2" t="inlineStr">
        <is>
          <t>Home RCC 210/WH mennyezeti lámpa, UFO, E14, 13 W</t>
        </is>
      </c>
      <c r="C1222" s="1" t="n">
        <v>1890.0</v>
      </c>
      <c r="D1222" s="7" t="n">
        <f>HYPERLINK("https://www.somogyi.hu/product/home-rcc-210-wh-mennyezeti-lampa-ufo-e14-13-w-rcc-210-wh-17303","https://www.somogyi.hu/product/home-rcc-210-wh-mennyezeti-lampa-ufo-e14-13-w-rcc-210-wh-17303")</f>
        <v>0.0</v>
      </c>
      <c r="E1222" s="7" t="n">
        <f>HYPERLINK("https://www.somogyi.hu/data/img/product_main_images/small/17303.jpg","https://www.somogyi.hu/data/img/product_main_images/small/17303.jpg")</f>
        <v>0.0</v>
      </c>
      <c r="F1222" s="2" t="inlineStr">
        <is>
          <t>5999084953256</t>
        </is>
      </c>
      <c r="G1222" s="4" t="inlineStr">
        <is>
          <t>RCC 210/WH fehér, műanyag mennyezeti ufólámpa Ø21x7,5 cm-es méreténél fogva ideális háztartási helyiség, kamra megvilágítására. A lámpa csomagolása a fényforrást nem, de a felszereléséhez szükséges csavarokat, tipliket tartalmazza.</t>
        </is>
      </c>
    </row>
    <row r="1223">
      <c r="A1223" s="3" t="inlineStr">
        <is>
          <t>RCC1823B</t>
        </is>
      </c>
      <c r="B1223" s="2" t="inlineStr">
        <is>
          <t>Home RCC1823B LED-es fali/mennyezeti lámpa, 1850 lumen, választható színhőmérséklet, beltéri kivitel, fekete</t>
        </is>
      </c>
      <c r="C1223" s="1" t="n">
        <v>6590.0</v>
      </c>
      <c r="D1223" s="7" t="n">
        <f>HYPERLINK("https://www.somogyi.hu/product/home-rcc1823b-led-es-fali-mennyezeti-lampa-1850-lumen-valaszthato-szinhomerseklet-belteri-kivitel-fekete-rcc1823b-18924","https://www.somogyi.hu/product/home-rcc1823b-led-es-fali-mennyezeti-lampa-1850-lumen-valaszthato-szinhomerseklet-belteri-kivitel-fekete-rcc1823b-18924")</f>
        <v>0.0</v>
      </c>
      <c r="E1223" s="7" t="n">
        <f>HYPERLINK("https://www.somogyi.hu/data/img/product_main_images/small/18924.jpg","https://www.somogyi.hu/data/img/product_main_images/small/18924.jpg")</f>
        <v>0.0</v>
      </c>
      <c r="F1223" s="2" t="inlineStr">
        <is>
          <t>5999084969189</t>
        </is>
      </c>
      <c r="G1223" s="4" t="inlineStr">
        <is>
          <t>Hogyan teremthet tökéletes világítást otthonában egy modern LED-es lámpával?
A Home RCC1823B fekete színű, LED-es fali/mennyezeti lámpa kiváló választás, ha energiahatékony, sokoldalúan állítható és esztétikus világításra van szüksége. Választható színhőmérsékleteinek köszönhetően mindig az adott helyiség hangulatához igazíthatja a fényt, legyen szó meleg fehér, természetes fehér vagy hideg fehér megvilágításról.
Erőteljes és állítható fényerő a maximális kényelemért
A 1850 lumen fényerejű LED lámpa három fokozatban állítható, így 100%, 50% vagy 10%-os fényerővel biztosítja az optimális világítást. Modern kialakítása és kompakt mérete miatt könnyen illeszkedik bármilyen beltéri térbe.
Három választható színhőmérséklet
- Meleg fehér (3000K) – otthonos, meghitt hangulat
- Természetes fehér (4000K) – kellemes, szemkímélő fény a mindennapokhoz
- Hideg fehér (6500K) – éles, energikus fény munkavégzéshez vagy precíziós tevékenységekhez
Beltéri használatra tervezve
A Home RCC1823 lámpa kifejezetten lakó- és munkahelyi környezetbe készült. Ideális nappaliba, hálószobába, konyhába vagy irodába, ahol egyenletes és tartós világításra van szükség.
Gazdaságos és hosszú élettartamú megoldás
- Energiatakarékos LED technológia – mindössze 18 W fogyasztás
- Hosszú élettartam – a LED fényforrások nem cserélhetők, így nincs szükség karbantartásra
- Magas színvisszaadási index (CRI 80,3) – természetesebb színek a környezetben
Egyszerű telepítés és biztonságos használat
A csomag tartalmazza a szükséges rögzítő elemeket, így a lámpa könnyen felszerelhető mennyezetre vagy falra. Fontos! A telepítéshez szakember segítsége javasolt, mivel a lámpatest nem tartalmaz sorozatkapcsot, és nem alkalmas kiemelő világításra.
Miért válassza a Home RCC1823B LED-es lámpát?
- Erőteljes 1850 lumen fényerő
- Három fokozatban állítható fényerő (100%, 50%, 10%)
- Választható színhőmérséklet (3000K, 4000K, 6500K)
- Kompakt, modern kialakítás beltéri használatra
- Energiatakarékos működés, mindössze 18 W fogyasztás
- Hosszú élettartam, karbantartásmentes LED technológia
- Egyszerű telepítés rögzítő elemekkel
Teremtsen tökéletes világítást otthonában vagy munkahelyén a Home RCC1823B LED-es fali/mennyezeti lámpával! A választható fényerő és színhőmérséklet segítségével mindig az adott tevékenységhez igazíthatja a világítást.</t>
        </is>
      </c>
    </row>
    <row r="1224">
      <c r="A1224" s="3" t="inlineStr">
        <is>
          <t>LMF 36/4500H</t>
        </is>
      </c>
      <c r="B1224" s="2" t="inlineStr">
        <is>
          <t>Home LMF 36/4500H álmennyezeti LED lámpatest, 595 x 595 mm, 36 W, 4500 lm, 4000 K</t>
        </is>
      </c>
      <c r="C1224" s="1" t="n">
        <v>14790.0</v>
      </c>
      <c r="D1224" s="7" t="n">
        <f>HYPERLINK("https://www.somogyi.hu/product/home-lmf-36-4500h-almennyezeti-led-lampatest-595-x-595-mm-36-w-4500-lm-4000-k-lmf-36-4500h-17769","https://www.somogyi.hu/product/home-lmf-36-4500h-almennyezeti-led-lampatest-595-x-595-mm-36-w-4500-lm-4000-k-lmf-36-4500h-17769")</f>
        <v>0.0</v>
      </c>
      <c r="E1224" s="7" t="n">
        <f>HYPERLINK("https://www.somogyi.hu/data/img/product_main_images/small/17769.jpg","https://www.somogyi.hu/data/img/product_main_images/small/17769.jpg")</f>
        <v>0.0</v>
      </c>
      <c r="F1224" s="2" t="inlineStr">
        <is>
          <t>5999084957919</t>
        </is>
      </c>
      <c r="G1224" s="4" t="inlineStr">
        <is>
          <t>Az LMF 36/4500H masszív alumínium keretű LED-es lámpatest beszerelése és üzembe helyezése rendkívül gyors és egyszerű. Nem csupán álmennyezetbe, hanem a tartozék 4 db 60 cm hosszú zsinórnak köszönhetően mennyezetről függesztve is elhelyezhető. A lámpatestben a LED fényforrás nem cserélhető és nem alkalmas kiemelő világításra. A lámpa energiaosztálya: E</t>
        </is>
      </c>
    </row>
    <row r="1225">
      <c r="A1225" s="3" t="inlineStr">
        <is>
          <t>RCC3240</t>
        </is>
      </c>
      <c r="B1225" s="2" t="inlineStr">
        <is>
          <t>Home RCC3240 LED-es fali/mennyezeti lámpa, 3400 lumen, választható színhőmérséklet, beltéri kivitel, fehér</t>
        </is>
      </c>
      <c r="C1225" s="1" t="n">
        <v>12090.0</v>
      </c>
      <c r="D1225" s="7" t="n">
        <f>HYPERLINK("https://www.somogyi.hu/product/home-rcc3240-led-es-fali-mennyezeti-lampa-3400-lumen-valaszthato-szinhomerseklet-belteri-kivitel-feher-rcc3240-18925","https://www.somogyi.hu/product/home-rcc3240-led-es-fali-mennyezeti-lampa-3400-lumen-valaszthato-szinhomerseklet-belteri-kivitel-feher-rcc3240-18925")</f>
        <v>0.0</v>
      </c>
      <c r="E1225" s="7" t="n">
        <f>HYPERLINK("https://www.somogyi.hu/data/img/product_main_images/small/18925.jpg","https://www.somogyi.hu/data/img/product_main_images/small/18925.jpg")</f>
        <v>0.0</v>
      </c>
      <c r="F1225" s="2" t="inlineStr">
        <is>
          <t>5999084969196</t>
        </is>
      </c>
      <c r="G1225" s="4" t="inlineStr">
        <is>
          <t>Hogyan varázsolhat tökéletes fényviszonyokat otthonába egy modern LED-es lámpával?
A Home RCC3240 LED-es fali/mennyezeti lámpa ideális választás, ha erős, mégis energiatakarékos és elegáns világítást keres otthona bármely helyiségébe. 3400 lumenes fényereje biztosítja a kiváló megvilágítást, míg a három választható színhőmérséklet lehetővé teszi a fényviszonyok személyre szabását, legyen szó meleg, természetes vagy hideg fehér fényről.
Erőteljes világítás minden helyzetben
A három fokozatban állítható fényerő lehetővé teszi, hogy mindig az adott tevékenységhez igazítsa a világítást.
- 100% fényerő – teljes megvilágítás a maximális fényerő érdekében
- 50% fényerő – kellemes, visszafogott fény a mindennapokra
- 10% fényerő – meghitt, lágy világítás pihenéshez
Választható színhőmérséklet – az ideális hangulat megteremtéséhez
Meleg fehér (3000K) – barátságos, otthonos légkört teremt
Természetes fehér (4000K) – ideális mindennapi használatra, szemkímélő világítás
Hideg fehér (6500K) – tiszta, erőteljes fény a precíz munkavégzéshez
Modern és energiatakarékos technológia
- LED technológia – 32 W fogyasztás mellett kiemelkedő fényerő
- Hosszú élettartam és alacsony karbantartási igény
- Magas színvisszaadási index (CRI 81,9) a természetes színekért
Egyszerű telepítés és biztonságos használat
A csomag tartalmazza a szükséges rögzítő elemeket, így a lámpa könnyen felszerelhető falra vagy mennyezetre.Fontos! A lámpatestben a LED fényforrások nem cserélhetők, és a termék nem alkalmas kiemelő világításra. A telepítéshez szakember segítsége ajánlott, mivel a lámpa nem tartalmaz sorozatkapcsot.
Miért válassza a Home RCC3240 LED-es fali/mennyezeti lámpát?
- Erőteljes, 3400 lumenes fényerő
- Három állítható fényerőszint (100%, 50%, 10%)
- Választható színhőmérséklet (3000K, 4000K, 6500K)
- Modern, letisztult dizájn beltéri használatra
- Energiatakarékos működés, alacsony fogyasztás (32 W)
- Hosszú élettartam, karbantartásmentes LED technológia
- Egyszerű telepítés rögzítő elemekkel
Teremtsen tökéletes világítást otthonában vagy munkahelyén a Home RCC3240 LED-es fali/mennyezeti lámpával! Az állítható fényerő és színhőmérséklet segítségével mindig az adott igényekhez igazíthatja a világítást.</t>
        </is>
      </c>
    </row>
    <row r="1226">
      <c r="A1226" s="3" t="inlineStr">
        <is>
          <t>RCC2430</t>
        </is>
      </c>
      <c r="B1226" s="2" t="inlineStr">
        <is>
          <t>Home RCC2430 LED-es fali/mennyezeti lámpa, 2500 lumen, 24 W, 3 választható színhőmérséklet, beltéri kivitel, fehér</t>
        </is>
      </c>
      <c r="C1226" s="1" t="n">
        <v>8590.0</v>
      </c>
      <c r="D1226" s="7" t="n">
        <f>HYPERLINK("https://www.somogyi.hu/product/home-rcc2430-led-es-fali-mennyezeti-lampa-2500-lumen-24-w-3-valaszthato-szinhomerseklet-belteri-kivitel-feher-rcc2430-18926","https://www.somogyi.hu/product/home-rcc2430-led-es-fali-mennyezeti-lampa-2500-lumen-24-w-3-valaszthato-szinhomerseklet-belteri-kivitel-feher-rcc2430-18926")</f>
        <v>0.0</v>
      </c>
      <c r="E1226" s="7" t="n">
        <f>HYPERLINK("https://www.somogyi.hu/data/img/product_main_images/small/18926.jpg","https://www.somogyi.hu/data/img/product_main_images/small/18926.jpg")</f>
        <v>0.0</v>
      </c>
      <c r="F1226" s="2" t="inlineStr">
        <is>
          <t>5999084969202</t>
        </is>
      </c>
      <c r="G1226" s="4" t="inlineStr">
        <is>
          <t>Hogyan teremthet világosabb és hangulatosabb otthont egy modern LED-es lámpával?
A Home RCC2430 LED-es fali/mennyezeti lámpa tökéletes választás, ha erős, mégis energiatakarékos és elegáns világításra van szüksége. A három választható színhőmérsékletnek köszönhetően mindig az adott helyiség és tevékenység igényeihez igazíthatja a világítást, legyen szó meleg fehér, természetes fehér vagy hideg fehér fényről.
Erőteljes fényerő és állítható világítás
A 2500 lumenes fényerejű LED-lámpa három fokozatban állítható, így 100%, 50% vagy 10%-os teljesítménnyel biztosítja a kívánt fényerőt. Modern és minimalista dizájnja miatt bármilyen beltéri térbe könnyedén illeszkedik, legyen szó nappaliról, hálószobáról vagy irodáról.
Három választható színhőmérséklet – az ideális fény minden helyzetben
- Meleg fehér (3000K) – barátságos, otthonos atmoszféra kialakításához
- Természetes fehér (4000K) – kellemes, szemkímélő fény a mindennapi használathoz
- Hideg fehér (6500K) – koncentrációt segítő, erős fény munkavégzéshez vagy precíziós feladatokhoz
Tartós és energiatakarékos megoldás
- LED technológia – alacsony energiafogyasztás (24 W) és hosszú élettartam
- Magas színvisszaadási index (CRI 80,8) – természetes, valósághű színek a térben
- Karbantartásmentes kivitel – a LED-ek nem cserélhetők, így hosszú távon is gazdaságos választás
Egyszerű telepítés és biztonságos használat
A csomag tartalmazza a szükséges rögzítő elemeket, így a lámpa könnyen felszerelhető mennyezetre vagy falra. Fontos! A telepítéshez szakember segítsége ajánlott, mivel a lámpatest nem tartalmaz sorozatkapcsot, és nem alkalmas kiemelő világításra.
Miért érdemes a Home RCC2430 LED-es lámpát választani?
- Erőteljes, 2500 lumenes fényerő
- Három fokozatban állítható fényerő (100%, 50%, 10%)
- Választható színhőmérséklet (3000K, 4000K, 6500K)
- Modern, minimalista design beltéri használatra
- Energiatakarékos működés, mindössze 24 W fogyasztás
- Hosszú élettartam, karbantartásmentes LED technológia
- Egyszerű telepítés rögzítő elemekkel
Teremtsen tökéletes világítást otthonában vagy munkahelyén a Home RCC2430 LED-es fali/mennyezeti lámpával! Az állítható fényerő és színhőmérséklet segítségével mindig az adott igényekhez igazíthatja a világítást.</t>
        </is>
      </c>
    </row>
    <row r="1227">
      <c r="A1227" s="3" t="inlineStr">
        <is>
          <t>RCC1823</t>
        </is>
      </c>
      <c r="B1227" s="2" t="inlineStr">
        <is>
          <t>Home RCC1823 LED-es fali/mennyezeti lámpa, 1850 lumen, választható színhőmérséklet, beltéri kivitel, fehér</t>
        </is>
      </c>
      <c r="C1227" s="1" t="n">
        <v>6590.0</v>
      </c>
      <c r="D1227" s="7" t="n">
        <f>HYPERLINK("https://www.somogyi.hu/product/home-rcc1823-led-es-fali-mennyezeti-lampa-1850-lumen-valaszthato-szinhomerseklet-belteri-kivitel-feher-rcc1823-18923","https://www.somogyi.hu/product/home-rcc1823-led-es-fali-mennyezeti-lampa-1850-lumen-valaszthato-szinhomerseklet-belteri-kivitel-feher-rcc1823-18923")</f>
        <v>0.0</v>
      </c>
      <c r="E1227" s="7" t="n">
        <f>HYPERLINK("https://www.somogyi.hu/data/img/product_main_images/small/18923.jpg","https://www.somogyi.hu/data/img/product_main_images/small/18923.jpg")</f>
        <v>0.0</v>
      </c>
      <c r="F1227" s="2" t="inlineStr">
        <is>
          <t>5999084969172</t>
        </is>
      </c>
      <c r="G1227" s="4" t="inlineStr">
        <is>
          <t>Hogyan teremthet tökéletes világítást otthonában egy modern LED-es lámpával?
A Home RCC1823 fehér színű, LED-es fali/mennyezeti lámpa kiváló választás, ha energiahatékony, sokoldalúan állítható és esztétikus világításra van szüksége. Választható színhőmérsékleteinek köszönhetően mindig az adott helyiség hangulatához igazíthatja a fényt, legyen szó meleg fehér, természetes fehér vagy hideg fehér megvilágításról.
Erőteljes és állítható fényerő a maximális kényelemért
A 1850 lumen fényerejű LED lámpa három fokozatban állítható, így 100%, 50% vagy 10%-os fényerővel biztosítja az optimális világítást. Modern kialakítása és kompakt mérete miatt könnyen illeszkedik bármilyen beltéri térbe.
Három választható színhőmérséklet
- Meleg fehér (3000K) – otthonos, meghitt hangulat
- Természetes fehér (4000K) – kellemes, szemkímélő fény a mindennapokhoz
- Hideg fehér (6500K) – éles, energikus fény munkavégzéshez vagy precíziós tevékenységekhez
Beltéri használatra tervezve
A Home RCC1823 lámpa kifejezetten lakó- és munkahelyi környezetbe készült. Ideális nappaliba, hálószobába, konyhába vagy irodába, ahol egyenletes és tartós világításra van szükség.
Gazdaságos és hosszú élettartamú megoldás
- Energiatakarékos LED technológia – mindössze 18 W fogyasztás
- Hosszú élettartam – a LED fényforrások nem cserélhetők, így nincs szükség karbantartásra
- Magas színvisszaadási index (CRI 80,3) – természetesebb színek a környezetben
Egyszerű telepítés és biztonságos használat
A csomag tartalmazza a szükséges rögzítő elemeket, így a lámpa könnyen felszerelhető mennyezetre vagy falra. Fontos! A telepítéshez szakember segítsége javasolt, mivel a lámpatest nem tartalmaz sorozatkapcsot, és nem alkalmas kiemelő világításra.
Miért válassza a Home RCC1823 LED-es lámpát?
- Erőteljes 1850 lumen fényerő
- Három fokozatban állítható fényerő (100%, 50%, 10%)
- Választható színhőmérséklet (3000K, 4000K, 6500K)
- Kompakt, modern kialakítás beltéri használatra
- Energiatakarékos működés, mindössze 18 W fogyasztás
- Hosszú élettartam, karbantartásmentes LED technológia
- Egyszerű telepítés rögzítő elemekkel
Teremtsen tökéletes világítást otthonában vagy munkahelyén a Home RCC1823 LED-es fali/mennyezeti lámpával! A választható fényerő és színhőmérséklet segítségével mindig az adott tevékenységhez igazíthatja a világítást.</t>
        </is>
      </c>
    </row>
    <row r="1228">
      <c r="A1228" s="6" t="inlineStr">
        <is>
          <t xml:space="preserve">   Világítás / LED reflektor</t>
        </is>
      </c>
      <c r="B1228" s="6" t="inlineStr">
        <is>
          <t/>
        </is>
      </c>
      <c r="C1228" s="6" t="inlineStr">
        <is>
          <t/>
        </is>
      </c>
      <c r="D1228" s="6" t="inlineStr">
        <is>
          <t/>
        </is>
      </c>
      <c r="E1228" s="6" t="inlineStr">
        <is>
          <t/>
        </is>
      </c>
      <c r="F1228" s="6" t="inlineStr">
        <is>
          <t/>
        </is>
      </c>
      <c r="G1228" s="6" t="inlineStr">
        <is>
          <t/>
        </is>
      </c>
    </row>
    <row r="1229">
      <c r="A1229" s="3" t="inlineStr">
        <is>
          <t>FLP 500 SOLAR</t>
        </is>
      </c>
      <c r="B1229" s="2" t="inlineStr">
        <is>
          <t>Home FLP 500 SOLAR, szolárpaneles LED reflektor, PIR mozgásérzékelő, 500 lm, 6000 K, 3000 mAh</t>
        </is>
      </c>
      <c r="C1229" s="1" t="n">
        <v>9990.0</v>
      </c>
      <c r="D1229" s="7" t="n">
        <f>HYPERLINK("https://www.somogyi.hu/product/home-flp-500-solar-szolarpaneles-led-reflektor-pir-mozgaserzekelo-500-lm-6000-k-3000-mah-flp-500-solar-16708","https://www.somogyi.hu/product/home-flp-500-solar-szolarpaneles-led-reflektor-pir-mozgaserzekelo-500-lm-6000-k-3000-mah-flp-500-solar-16708")</f>
        <v>0.0</v>
      </c>
      <c r="E1229" s="7" t="n">
        <f>HYPERLINK("https://www.somogyi.hu/data/img/product_main_images/small/16708.jpg","https://www.somogyi.hu/data/img/product_main_images/small/16708.jpg")</f>
        <v>0.0</v>
      </c>
      <c r="F1229" s="2" t="inlineStr">
        <is>
          <t>5999084947408</t>
        </is>
      </c>
      <c r="G1229" s="4" t="inlineStr">
        <is>
          <t>Az FLP 500 SOLAR LED reflektort nagy felületű szolár panellel ellátott, így a beépített Li-ion akkumulátort könnyedén feltölti a nap sugarai segítségével. A 30 db SMD 2835 LED 500 lm fényerővel világít, melynek színhőmérséklete 6000 K. A PIR mozgásérzékelő 6 m hatótávon képes működni. Több funkció közül választhat: mozgás és/vagy fényérzékelés, valamint folyamatos világítás mód.
A lámpatestben a LED fényforrás nem cserélhető.</t>
        </is>
      </c>
    </row>
    <row r="1230">
      <c r="A1230" s="3" t="inlineStr">
        <is>
          <t>FLL 30</t>
        </is>
      </c>
      <c r="B1230" s="2" t="inlineStr">
        <is>
          <t>Home FLL 30 LED fényvető, 30 W, 2400 lm</t>
        </is>
      </c>
      <c r="C1230" s="1" t="n">
        <v>4390.0</v>
      </c>
      <c r="D1230" s="7" t="n">
        <f>HYPERLINK("https://www.somogyi.hu/product/home-fll-30-led-fenyveto-30-w-2400-lm-fll-30-17881","https://www.somogyi.hu/product/home-fll-30-led-fenyveto-30-w-2400-lm-fll-30-17881")</f>
        <v>0.0</v>
      </c>
      <c r="E1230" s="7" t="n">
        <f>HYPERLINK("https://www.somogyi.hu/data/img/product_main_images/small/17881.jpg","https://www.somogyi.hu/data/img/product_main_images/small/17881.jpg")</f>
        <v>0.0</v>
      </c>
      <c r="F1230" s="2" t="inlineStr">
        <is>
          <t>5999084959036</t>
        </is>
      </c>
      <c r="G1230" s="4" t="inlineStr">
        <is>
          <t>Falra szerelhető, LED-es, kül és beltéren egyaránt használható FLL 30 fényvető tökéletes melléképületek, garázsok, hétvégi házak bejáratának megvilágítására. Vízmentes bekötő dobozzal rendelkezik, így felszerelése és használata abszolút biztonságos. A termék 145x145x90 mm méretű, 30 W teljesítményű. Fontos megjegyeznünk, hogy a lámpatestben a LED fényforrás nem cserélhető és a lámpa nem alkalmas kiemelő világításra.</t>
        </is>
      </c>
    </row>
    <row r="1231">
      <c r="A1231" s="3" t="inlineStr">
        <is>
          <t>FLP 5 SOLAR</t>
        </is>
      </c>
      <c r="B1231" s="2" t="inlineStr">
        <is>
          <t>Home FLP 5 SOLAR, szolárpaneles LED reflektor, PIR mozgásérzékelő, 500 lm, forgatható reflektorok, 1500 mAh, ~60 perc üzemidő</t>
        </is>
      </c>
      <c r="C1231" s="1" t="n">
        <v>15590.0</v>
      </c>
      <c r="D1231" s="7" t="n">
        <f>HYPERLINK("https://www.somogyi.hu/product/home-flp-5-solar-szolarpaneles-led-reflektor-pir-mozgaserzekelo-500-lm-forgathato-reflektorok-1500-mah-60-perc-uzemido-flp-5-solar-16204","https://www.somogyi.hu/product/home-flp-5-solar-szolarpaneles-led-reflektor-pir-mozgaserzekelo-500-lm-forgathato-reflektorok-1500-mah-60-perc-uzemido-flp-5-solar-16204")</f>
        <v>0.0</v>
      </c>
      <c r="E1231" s="7" t="n">
        <f>HYPERLINK("https://www.somogyi.hu/data/img/product_main_images/small/16204.jpg","https://www.somogyi.hu/data/img/product_main_images/small/16204.jpg")</f>
        <v>0.0</v>
      </c>
      <c r="F1231" s="2" t="inlineStr">
        <is>
          <t>5999084942366</t>
        </is>
      </c>
      <c r="G1231" s="4" t="inlineStr">
        <is>
          <t>Hogyan biztosíthatja hatékonyan a kültéri világítást energiaköltségek nélkül?
A Home FLP 5 SOLAR szolárpaneles LED reflektor innovatív és környezetbarát megoldást kínál otthona, udvara vagy egyéb kültéri területek megvilágítására. A beépített PIR mozgásérzékelő intelligens működést biztosít, így a lámpa csak akkor kapcsol be, amikor valóban szükség van rá, ezzel is hozzájárulva az energiatakarékossághoz. Az amorf szolárpanel biztosítja az akkumulátor töltését, így a rendszer teljes mértékben hálózati áram nélkül működik.
Erőteljes fényerő és állítható világítási funkciók
A reflektor 56 darab SMD 2835 LED fényforrást tartalmaz, amelyek 500 lumenes fényerőt biztosítanak 6000 K színhőmérsékleten, így hidegfehér fényével tökéletes látási viszonyokat teremt. Az állítható fényérzékenység lehetővé teszi, hogy a reflektor nappali és éjszakai üzemmódban is működjön, míg a beállítható világítási időtartam 10 másodperc és 2 perc között szabályozható, így a fény mindig az aktuális igényekhez igazodik.
Megbízható és hosszú üzemidő
A lámpa 1500 mAh kapacitású, 18650 típusú lítium-ion akkumulátorral rendelkezik, amely a teljesen feltöltött állapotában akár 60 perces működési időt biztosít. A hatékony szolárpanel gondoskodik az akkumulátor feltöltéséről, így a rendszer napközben összegyűjti a napenergiát, majd éjszaka automatikusan aktiválódik a mozgásérzékelő hatására.
Könnyű telepítés és rugalmas használat
A forgatható reflektorok lehetővé teszik a világítási irány pontos beállítását, így a fényt oda irányíthatja, ahol arra a legnagyobb szükség van. A 4,8 méteres vezetékhosszúságú szolárpanel rugalmas elhelyezést biztosít, így akár távolabbra is telepíthető a reflektortól, hogy a napfény maximális kihasználása érdekében optimális pozícióban legyen. Az ABS és PC anyagból készült tartós kialakítás biztosítja az időjárásállóságot és a hosszú élettartamot.
Miért érdemes a Home FLP 5 SOLAR LED reflektort választani?
- Teljes mértékben napenergiával működik, így nincs szükség hálózati áramra
- 500 lumen fényerővel biztosítja a megfelelő megvilágítást
- Mozgásérzékelős technológia, amely energiatakarékos és hatékony működést garantál
- Állítható világítási idő és fényérzékenység, a maximális testreszabhatóság érdekében
- Forgatható reflektorokkal biztosítja a fény optimális elosztását
- Időjárásálló kivitel kültéri használatra tervezve
Tegye biztonságosabbá otthonát és udvarát energiatakarékos, mozgásérzékelős LED reflektorral! A Home FLP 5 SOLAR tökéletes választás minden olyan helyre, ahol nincs hálózati áram, de fontos a megbízható és erőteljes világítás.</t>
        </is>
      </c>
    </row>
    <row r="1232">
      <c r="A1232" s="3" t="inlineStr">
        <is>
          <t>FLL 50</t>
        </is>
      </c>
      <c r="B1232" s="2" t="inlineStr">
        <is>
          <t>Home FLL 50 LED fényvető, 50 W, 4000 lm</t>
        </is>
      </c>
      <c r="C1232" s="1" t="n">
        <v>5490.0</v>
      </c>
      <c r="D1232" s="7" t="n">
        <f>HYPERLINK("https://www.somogyi.hu/product/home-fll-50-led-fenyveto-50-w-4000-lm-fll-50-17882","https://www.somogyi.hu/product/home-fll-50-led-fenyveto-50-w-4000-lm-fll-50-17882")</f>
        <v>0.0</v>
      </c>
      <c r="E1232" s="7" t="n">
        <f>HYPERLINK("https://www.somogyi.hu/data/img/product_main_images/small/17882.jpg","https://www.somogyi.hu/data/img/product_main_images/small/17882.jpg")</f>
        <v>0.0</v>
      </c>
      <c r="F1232" s="2" t="inlineStr">
        <is>
          <t>5999084959043</t>
        </is>
      </c>
      <c r="G1232" s="4" t="inlineStr">
        <is>
          <t>Falra szerelhető, kül és beltéren egyaránt használható FLL 50 fényvető tökéletes melléképületek, garázsok, hétvégi házak bejáratának megvilágítására. Vízmentes bekötő dobozzal rendelkezik, így felszerelése és használata abszolút biztonságos. A termék 188x160x115 mm méretű, 50 W teljesítményű. Fontos megjegyeznünk, hogy a lámpatestben a LED fényforrás nem cserélhető és a lámpa nem alkalmas kiemelő világításra.</t>
        </is>
      </c>
    </row>
    <row r="1233">
      <c r="A1233" s="3" t="inlineStr">
        <is>
          <t>FLL 10</t>
        </is>
      </c>
      <c r="B1233" s="2" t="inlineStr">
        <is>
          <t>Home FLL 10 LED fényvető, 10 W, 800 lm</t>
        </is>
      </c>
      <c r="C1233" s="1" t="n">
        <v>2590.0</v>
      </c>
      <c r="D1233" s="7" t="n">
        <f>HYPERLINK("https://www.somogyi.hu/product/home-fll-10-led-fenyveto-10-w-800-lm-fll-10-17879","https://www.somogyi.hu/product/home-fll-10-led-fenyveto-10-w-800-lm-fll-10-17879")</f>
        <v>0.0</v>
      </c>
      <c r="E1233" s="7" t="n">
        <f>HYPERLINK("https://www.somogyi.hu/data/img/product_main_images/small/17879.jpg","https://www.somogyi.hu/data/img/product_main_images/small/17879.jpg")</f>
        <v>0.0</v>
      </c>
      <c r="F1233" s="2" t="inlineStr">
        <is>
          <t>5999084959012</t>
        </is>
      </c>
      <c r="G1233" s="4" t="inlineStr">
        <is>
          <t>Falra szerelhető, LED-es, kül és beltéren egyaránt használható FLL 10 fényvető tökéletes melléképületek, garázsok, hétvégi házak bejáratának megvilágítására. Vízmentes bekötő dobozzal rendelkezik, így felszerelése és használata abszolút biztonságos. A termék 110x110x90 mm méretű, 10 W teljesítményű. Fontos megjegyeznünk, hogy a lámpatestben a LED fényforrás nem cserélhető és a lámpa nem alkalmas kiemelő világításra.</t>
        </is>
      </c>
    </row>
    <row r="1234">
      <c r="A1234" s="3" t="inlineStr">
        <is>
          <t>FLL 100</t>
        </is>
      </c>
      <c r="B1234" s="2" t="inlineStr">
        <is>
          <t>Home FLL 100 LED fényvető, 100 W, 8200 lm</t>
        </is>
      </c>
      <c r="C1234" s="1" t="n">
        <v>11490.0</v>
      </c>
      <c r="D1234" s="7" t="n">
        <f>HYPERLINK("https://www.somogyi.hu/product/home-fll-100-led-fenyveto-100-w-8200-lm-fll-100-17883","https://www.somogyi.hu/product/home-fll-100-led-fenyveto-100-w-8200-lm-fll-100-17883")</f>
        <v>0.0</v>
      </c>
      <c r="E1234" s="7" t="n">
        <f>HYPERLINK("https://www.somogyi.hu/data/img/product_main_images/small/17883.jpg","https://www.somogyi.hu/data/img/product_main_images/small/17883.jpg")</f>
        <v>0.0</v>
      </c>
      <c r="F1234" s="2" t="inlineStr">
        <is>
          <t>5999084959050</t>
        </is>
      </c>
      <c r="G1234" s="4" t="inlineStr">
        <is>
          <t>Falra szerelhető, LED-es, kül és beltéren egyaránt használható FLL 100 fényvető nem csupán melléképületek, garázsok, hétvégi házak bejáratának megvilágítására alkalmas, hanem kiváló munkaállomás fénynek is. Vízmentes bekötő dobozzal rendelkezik, így felszerelése és használata abszolút biztonságos. A termék 280x225x155 mm méretű, 100 W teljesítményű. Fontos megjegyeznünk, hogy a lámpatestben a LED fényforrás nem cserélhető és a lámpa nem alkalmas kiemelő világításra.</t>
        </is>
      </c>
    </row>
    <row r="1235">
      <c r="A1235" s="3" t="inlineStr">
        <is>
          <t>FLL PIR 20</t>
        </is>
      </c>
      <c r="B1235" s="2" t="inlineStr">
        <is>
          <t>Home FLL PIR 20 LED fényvető, PIR mozgásérzékelő, 140°, 20 W, 1600 lm,</t>
        </is>
      </c>
      <c r="C1235" s="1" t="n">
        <v>5690.0</v>
      </c>
      <c r="D1235" s="7" t="n">
        <f>HYPERLINK("https://www.somogyi.hu/product/home-fll-pir-20-led-fenyveto-pir-mozgaserzekelo-140-20-w-1600-lm-fll-pir-20-17884","https://www.somogyi.hu/product/home-fll-pir-20-led-fenyveto-pir-mozgaserzekelo-140-20-w-1600-lm-fll-pir-20-17884")</f>
        <v>0.0</v>
      </c>
      <c r="E1235" s="7" t="n">
        <f>HYPERLINK("https://www.somogyi.hu/data/img/product_main_images/small/17884.jpg","https://www.somogyi.hu/data/img/product_main_images/small/17884.jpg")</f>
        <v>0.0</v>
      </c>
      <c r="F1235" s="2" t="inlineStr">
        <is>
          <t>5999084959067</t>
        </is>
      </c>
      <c r="G1235" s="4" t="inlineStr">
        <is>
          <t>Mozgásérzékelős, LED-es, falra szerelhető kül- és beltéren egyaránt használható, 20 W teljesítményű FLL PIR 20 fényvető bejárati ajtók, padlásterek, melléképület sarkok, udvari közlekedő utak megvilágítására ajánlott. PIR mozgásérzékelő legyező alakban, 140°-os érzékelési szögben működik. A mozgást érzékelő távolság 2-8 m (&lt;24 °C) között állítható be. Nem csupán a működési idő, hanem a fényérzékenység is állítható. A nappalok évközbeni rövidülése, hosszabbodása sem okoz gondot, mindig ugyanolyan fényviszonyok mellett kapcsol be. Alacsony energiafelhasználása mellett hosszú életartamú.</t>
        </is>
      </c>
    </row>
    <row r="1236">
      <c r="A1236" s="3" t="inlineStr">
        <is>
          <t>FLL PIR 30</t>
        </is>
      </c>
      <c r="B1236" s="2" t="inlineStr">
        <is>
          <t>Home FLL PIR 30 LED fényvető, PIR mozgásérzékelő, 140°, 30 W, 2400 lm,</t>
        </is>
      </c>
      <c r="C1236" s="1" t="n">
        <v>6690.0</v>
      </c>
      <c r="D1236" s="7" t="n">
        <f>HYPERLINK("https://www.somogyi.hu/product/home-fll-pir-30-led-fenyveto-pir-mozgaserzekelo-140-30-w-2400-lm-fll-pir-30-17885","https://www.somogyi.hu/product/home-fll-pir-30-led-fenyveto-pir-mozgaserzekelo-140-30-w-2400-lm-fll-pir-30-17885")</f>
        <v>0.0</v>
      </c>
      <c r="E1236" s="7" t="n">
        <f>HYPERLINK("https://www.somogyi.hu/data/img/product_main_images/small/17885.jpg","https://www.somogyi.hu/data/img/product_main_images/small/17885.jpg")</f>
        <v>0.0</v>
      </c>
      <c r="F1236" s="2" t="inlineStr">
        <is>
          <t>5999084959074</t>
        </is>
      </c>
      <c r="G1236" s="4" t="inlineStr">
        <is>
          <t>Mozgásérzékelős, LED-es, falra szerelhető kül- és beltéren egyaránt használható, 30 W teljesítményű FLL PIR 30 fényvető bejárati ajtók, padlásterek, melléképület sarkok, udvari közlekedő utak megvilágítására ajánlott. 
PIR mozgásérzékelő legyező alakban, 140°-os érzékelési szögben működik. 
A mozgást érzékelő távolság 2-8 m (&lt;24 °C) között állítható be.
Nem csupán a működési idő, hanem a fényérzékenység is állítható. 
A nappalok évközbeni rövidülése, hosszabbodása sem okoz gondot, mindig ugyanolyan fényviszonyok mellett kapcsol be. 
Alacsony energiafelhasználása mellett hosszú életartamú.</t>
        </is>
      </c>
    </row>
    <row r="1237">
      <c r="A1237" s="3" t="inlineStr">
        <is>
          <t>FLL PIR 50</t>
        </is>
      </c>
      <c r="B1237" s="2" t="inlineStr">
        <is>
          <t>Home FLL PIR 50 LED fényvető, PIR mozgásérzékelő, 140°, 50 W, 4000 lm,</t>
        </is>
      </c>
      <c r="C1237" s="1" t="n">
        <v>8590.0</v>
      </c>
      <c r="D1237" s="7" t="n">
        <f>HYPERLINK("https://www.somogyi.hu/product/home-fll-pir-50-led-fenyveto-pir-mozgaserzekelo-140-50-w-4000-lm-fll-pir-50-17886","https://www.somogyi.hu/product/home-fll-pir-50-led-fenyveto-pir-mozgaserzekelo-140-50-w-4000-lm-fll-pir-50-17886")</f>
        <v>0.0</v>
      </c>
      <c r="E1237" s="7" t="n">
        <f>HYPERLINK("https://www.somogyi.hu/data/img/product_main_images/small/17886.jpg","https://www.somogyi.hu/data/img/product_main_images/small/17886.jpg")</f>
        <v>0.0</v>
      </c>
      <c r="F1237" s="2" t="inlineStr">
        <is>
          <t>5999084959081</t>
        </is>
      </c>
      <c r="G1237" s="4" t="inlineStr">
        <is>
          <t>Mozgásérzékelős, falra szerelhető kül- és beltéren egyaránt használható, 50 W teljesítményű FLL PIR 50 fényvető bejárati ajtók, padlásterek, melléképület sarkok, udvari közlekedő utak megvilágítására ajánlott.
PIR mozgásérzékelő legyező alakban, 140°-os érzékelési szögben működik. 
A mozgást érzékelő távolság 2-8 m (&lt;24 °C) között állítható be. 
Nem csupán a működési idő, hanem a fényérzékenység is állítható. 
A nappalok évközbeni rövidülése, hosszabbodása sem okoz gondot, mindig ugyanolyan fényviszonyok mellett kapcsol be. 
Alacsony energiafelhasználása mellett hosszú életartamú.</t>
        </is>
      </c>
    </row>
    <row r="1238">
      <c r="A1238" s="3" t="inlineStr">
        <is>
          <t>JSL 3300</t>
        </is>
      </c>
      <c r="B1238" s="2" t="inlineStr">
        <is>
          <t>Home JSL 3300 munkalámpa, 3300 lm, IP44, 4400 mAh, PowerBank funkció, USB-C töltőkábel, ~4,5 óra üzemidő</t>
        </is>
      </c>
      <c r="C1238" s="1" t="n">
        <v>28790.0</v>
      </c>
      <c r="D1238" s="7" t="n">
        <f>HYPERLINK("https://www.somogyi.hu/product/home-jsl-3300-munkalampa-3300-lm-ip44-4400-mah-powerbank-funkcio-usb-c-toltokabel-4-5-ora-uzemido-jsl-3300-17770","https://www.somogyi.hu/product/home-jsl-3300-munkalampa-3300-lm-ip44-4400-mah-powerbank-funkcio-usb-c-toltokabel-4-5-ora-uzemido-jsl-3300-17770")</f>
        <v>0.0</v>
      </c>
      <c r="E1238" s="7" t="n">
        <f>HYPERLINK("https://www.somogyi.hu/data/img/product_main_images/small/17770.jpg","https://www.somogyi.hu/data/img/product_main_images/small/17770.jpg")</f>
        <v>0.0</v>
      </c>
      <c r="F1238" s="2" t="inlineStr">
        <is>
          <t>5999084957926</t>
        </is>
      </c>
      <c r="G1238" s="4" t="inlineStr">
        <is>
          <t>Olyan sokoldalú világítást keres, amely a legkeményebb körülmények között is megállja a helyét? A Home JSL 3300 munkalámpa kiemelkedő fényerejével és praktikus funkcióival tökéletes választás szinte bármilyen munkaterület megvilágítására, akár beltérben, akár kültéren. 
A 30 W-os COB LED technológia lenyűgöző, akár 3300 lumenes fényáramot biztosít, így még a legrosszabb fényviszonyok között is tökéletes látást garantál. A beállítható világítási módokkal a lámpa teljesítménye 825 lumenre csökkenthető, így igény szerint állítható a fényerő. Az IP44 védettségi fokozat biztosítja, hogy a munkalámpa ellenálljon a fröccsenő víznek és a poros környezetnek, így kültéri használatra is kiválóan alkalmas. A beépített 4400 mAh kapacitású Li-ion akkumulátorok akár 4,5 órás üzemidőt is lehetővé tesznek, ami hosszú munkafolyamatokhoz is elegendő. 
Töltés közben is világíthat, így nem kell aggódni az időszakos sötétség miatt. A PowerBank funkció révén a lámpa képes mobil eszközök töltésére is, így mindig kéznél van egy megbízható energiaforrás. A lámpa könnyedén mágnesesen rögzíthető, felakasztható vagy hordozható, így rendkívül rugalmasan használható különféle munkakörnyezetekben. Az USB-C töltőkábellel gyorsan és egyszerűen feltölthető, a teljes töltési idő körülbelül 6 óra.
Ne hagyja, hogy a gyenge fényviszonyok hátráltassák munkáját! Válassza a Home JSL 3300 munkalámpát, és élvezze a maximális fényerőt és sokoldalú felhasználási lehetőségeket bárhol, bármikor!</t>
        </is>
      </c>
    </row>
    <row r="1239">
      <c r="A1239" s="3" t="inlineStr">
        <is>
          <t>FLP 2/BK SOLAR</t>
        </is>
      </c>
      <c r="B1239" s="2" t="inlineStr">
        <is>
          <t>Home FLP 2/BK SOLAR napelemes LED lámpa, 120° mozgásérzékelő, időjárásálló, 1,5 W, 200 lm, elöl 6000 K, hátul 3000 K</t>
        </is>
      </c>
      <c r="C1239" s="1" t="n">
        <v>5990.0</v>
      </c>
      <c r="D1239" s="7" t="n">
        <f>HYPERLINK("https://www.somogyi.hu/product/home-flp-2-bk-solar-napelemes-led-lampa-120-mozgaserzekelo-idojarasallo-1-5-w-200-lm-elol-6000-k-hatul-3000-k-flp-2-bk-solar-15493","https://www.somogyi.hu/product/home-flp-2-bk-solar-napelemes-led-lampa-120-mozgaserzekelo-idojarasallo-1-5-w-200-lm-elol-6000-k-hatul-3000-k-flp-2-bk-solar-15493")</f>
        <v>0.0</v>
      </c>
      <c r="E1239" s="7" t="n">
        <f>HYPERLINK("https://www.somogyi.hu/data/img/product_main_images/small/15493.jpg","https://www.somogyi.hu/data/img/product_main_images/small/15493.jpg")</f>
        <v>0.0</v>
      </c>
      <c r="F1239" s="2" t="inlineStr">
        <is>
          <t>5999084935276</t>
        </is>
      </c>
      <c r="G1239" s="4" t="inlineStr">
        <is>
          <t>Világítsa meg éjszakára otthonának külterét! Ebben lesz segítségére az FLP 2/BK SOLAR fekete színű LED-es lámpa, amely napelemes, és mozgásérzékelővel is rendelkezik. A készülék bátran alkalmazható a kinti környezetben, hiszen az időjárásnak ellenálló kivitelben készült. Előnye, hogy nagy kapacitású akkumulátorral rendelkezik.
A sötétben az első és hátsó LED-ek energiatakarékosan világítanak (3%), mely fényerőt a mozgás érzékelésekor 100%-ra növeli a készülék. Válassza a minőségi termékeket és rendeljen webáruházunkból!</t>
        </is>
      </c>
    </row>
    <row r="1240">
      <c r="A1240" s="3" t="inlineStr">
        <is>
          <t>FLL 20</t>
        </is>
      </c>
      <c r="B1240" s="2" t="inlineStr">
        <is>
          <t>Home FLL 20 LED fényvető, 20 W, 1600 lm</t>
        </is>
      </c>
      <c r="C1240" s="1" t="n">
        <v>2890.0</v>
      </c>
      <c r="D1240" s="7" t="n">
        <f>HYPERLINK("https://www.somogyi.hu/product/home-fll-20-led-fenyveto-20-w-1600-lm-fll-20-17880","https://www.somogyi.hu/product/home-fll-20-led-fenyveto-20-w-1600-lm-fll-20-17880")</f>
        <v>0.0</v>
      </c>
      <c r="E1240" s="7" t="n">
        <f>HYPERLINK("https://www.somogyi.hu/data/img/product_main_images/small/17880.jpg","https://www.somogyi.hu/data/img/product_main_images/small/17880.jpg")</f>
        <v>0.0</v>
      </c>
      <c r="F1240" s="2" t="inlineStr">
        <is>
          <t>5999084959029</t>
        </is>
      </c>
      <c r="G1240" s="4" t="inlineStr">
        <is>
          <t>Falra szerelhető, LED-es, kül és beltéren egyaránt használható FLL 20 fényvető tökéletes melléképületek, garázsok, hétvégi házak bejáratának megvilágítására. Vízmentes bekötő dobozzal rendelkezik, így felszerelése és használata abszolút biztonságos. A termék 122x122x90 mm méretű, 20 W teljesítményű. Fontos megjegyeznünk, hogy a lámpatestben a LED fényforrás nem cserélhető és a lámpa nem alkalmas kiemelő világításra.</t>
        </is>
      </c>
    </row>
    <row r="1241">
      <c r="A1241" s="3" t="inlineStr">
        <is>
          <t>FLL STAND 2/30</t>
        </is>
      </c>
      <c r="B1241" s="2" t="inlineStr">
        <is>
          <t>Home FLL STAND 2/30 állványos LED fényvető, 0,8 - 1,7 m, 2 x 30 W, 2 x 2400 lm, kül- és beltéri</t>
        </is>
      </c>
      <c r="C1241" s="1" t="n">
        <v>22590.0</v>
      </c>
      <c r="D1241" s="7" t="n">
        <f>HYPERLINK("https://www.somogyi.hu/product/home-fll-stand-2-30-allvanyos-led-fenyveto-0-8-1-7-m-2-x-30-w-2-x-2400-lm-kul-es-belteri-fll-stand-2-30-17887","https://www.somogyi.hu/product/home-fll-stand-2-30-allvanyos-led-fenyveto-0-8-1-7-m-2-x-30-w-2-x-2400-lm-kul-es-belteri-fll-stand-2-30-17887")</f>
        <v>0.0</v>
      </c>
      <c r="E1241" s="7" t="n">
        <f>HYPERLINK("https://www.somogyi.hu/data/img/product_main_images/small/17887.jpg","https://www.somogyi.hu/data/img/product_main_images/small/17887.jpg")</f>
        <v>0.0</v>
      </c>
      <c r="F1241" s="2" t="inlineStr">
        <is>
          <t>5999084959098</t>
        </is>
      </c>
      <c r="G1241" s="4" t="inlineStr">
        <is>
          <t>Állványos, LED-es, hordozható FLL STAND 2/30 fényvető kül és beltéren egyaránt használható. A felszerelt 2 db egyenként 30 W teljesítményű LED fényforrás 4000 lumen erősségben világít. A termék csatlakozóvezetéke 2,1 méter hosszú, amit az állványon található kábeltartóra feltekerhető. Optimális építési, felújítási munkaterületek és megfelelő megvilágítást igénylő hobbitevékenységek megvilágítására. Összeszerelése rendkívül gyors és egyszerű.</t>
        </is>
      </c>
    </row>
    <row r="1242">
      <c r="A1242" s="3" t="inlineStr">
        <is>
          <t>FLL H 20</t>
        </is>
      </c>
      <c r="B1242" s="2" t="inlineStr">
        <is>
          <t>Home FLL H 20 hordozható LED fényvető, 20 W, 1600 lm, összecsukható, állítható dőlésszög</t>
        </is>
      </c>
      <c r="C1242" s="1" t="n">
        <v>8690.0</v>
      </c>
      <c r="D1242" s="7" t="n">
        <f>HYPERLINK("https://www.somogyi.hu/product/home-fll-h-20-hordozhato-led-fenyveto-20-w-1600-lm-osszecsukhato-allithato-dolesszog-fll-h-20-17888","https://www.somogyi.hu/product/home-fll-h-20-hordozhato-led-fenyveto-20-w-1600-lm-osszecsukhato-allithato-dolesszog-fll-h-20-17888")</f>
        <v>0.0</v>
      </c>
      <c r="E1242" s="7" t="n">
        <f>HYPERLINK("https://www.somogyi.hu/data/img/product_main_images/small/17888.jpg","https://www.somogyi.hu/data/img/product_main_images/small/17888.jpg")</f>
        <v>0.0</v>
      </c>
      <c r="F1242" s="2" t="inlineStr">
        <is>
          <t>5999084959104</t>
        </is>
      </c>
      <c r="G1242" s="4" t="inlineStr">
        <is>
          <t>Hordozható, összecsukható hordkeretű, LED-es, kül- és beltéren egyaránt használható FLL H 20 fényvető nélkülözhetetlen a felújítási munkálatok során. Dőlésszöge állítható, így nem marad egyetlen sarok sem megvilágítatlanul. A fényvető mérete kinyitva 213x195x154 mm, teljesítménye 20 W, csatlakozóvezetékének hossza 1,5 méter. Fontos megjegyeznünk, hogy a lámpatestben a LED fényforrás nem cserélhető és a lámpa nem alkalmas kiemelő világításra.</t>
        </is>
      </c>
    </row>
    <row r="1243">
      <c r="A1243" s="3" t="inlineStr">
        <is>
          <t>FLP 1000 SOLAR</t>
        </is>
      </c>
      <c r="B1243" s="2" t="inlineStr">
        <is>
          <t>Home FLP 1000 SOLAR, szolárpaneles LED reflektor, PIR mozgásérzékelő, 1000 lm, 6000 K, 7200 mAh</t>
        </is>
      </c>
      <c r="C1243" s="1" t="n">
        <v>22890.0</v>
      </c>
      <c r="D1243" s="7" t="n">
        <f>HYPERLINK("https://www.somogyi.hu/product/home-flp-1000-solar-szolarpaneles-led-reflektor-pir-mozgaserzekelo-1000-lm-6000-k-7200-mah-flp-1000-solar-16709","https://www.somogyi.hu/product/home-flp-1000-solar-szolarpaneles-led-reflektor-pir-mozgaserzekelo-1000-lm-6000-k-7200-mah-flp-1000-solar-16709")</f>
        <v>0.0</v>
      </c>
      <c r="E1243" s="7" t="n">
        <f>HYPERLINK("https://www.somogyi.hu/data/img/product_main_images/small/16709.jpg","https://www.somogyi.hu/data/img/product_main_images/small/16709.jpg")</f>
        <v>0.0</v>
      </c>
      <c r="F1243" s="2" t="inlineStr">
        <is>
          <t>5999084947415</t>
        </is>
      </c>
      <c r="G1243" s="4" t="inlineStr">
        <is>
          <t>Az FLP 1000 SOLAR LED reflektort nagy felületű szolár panellel ellátott, így a beépített Li-ion akkumulátort könnyedén feltölti a nap sugarai segítségével. A 60 db SMD 2835 LED 1000 lm fényerővel világít, melynek színhőmérséklete 6000 K. A PIR mozgásérzékelő 8 m hatótávon képes működni. Több  funkció közül választhat: mozgás és/vagy fényérzékelés, valamint folyamatos világítás mód.
A lámpatestben a LED fényforrás nem cserélhető.</t>
        </is>
      </c>
    </row>
    <row r="1244">
      <c r="A1244" s="3" t="inlineStr">
        <is>
          <t>FLL H 50</t>
        </is>
      </c>
      <c r="B1244" s="2" t="inlineStr">
        <is>
          <t>Home FLL H 50 hordozható LED fényvető, 50 W, 4000 lm, összecsukható, állítható dőlésszög</t>
        </is>
      </c>
      <c r="C1244" s="1" t="n">
        <v>11990.0</v>
      </c>
      <c r="D1244" s="7" t="n">
        <f>HYPERLINK("https://www.somogyi.hu/product/home-fll-h-50-hordozhato-led-fenyveto-50-w-4000-lm-osszecsukhato-allithato-dolesszog-fll-h-50-17889","https://www.somogyi.hu/product/home-fll-h-50-hordozhato-led-fenyveto-50-w-4000-lm-osszecsukhato-allithato-dolesszog-fll-h-50-17889")</f>
        <v>0.0</v>
      </c>
      <c r="E1244" s="7" t="n">
        <f>HYPERLINK("https://www.somogyi.hu/data/img/product_main_images/small/17889.jpg","https://www.somogyi.hu/data/img/product_main_images/small/17889.jpg")</f>
        <v>0.0</v>
      </c>
      <c r="F1244" s="2" t="inlineStr">
        <is>
          <t>5999084959111</t>
        </is>
      </c>
      <c r="G1244" s="4" t="inlineStr">
        <is>
          <t>Hordozható, összecsukható hordkeretű, kül- és beltéren egyaránt használható FLL H 50 fényvető nélkülözhetetlen a felújítási munkálatok során. Dőlésszöge állítható, így nem marad egyetlen sarok sem megvilágítatlanul. A fényvető mérete kinyitva 265x245x184 mm, teljesítménye 50 W, csatlakozóvezetékének hossza 1,5 méter. Fontos megjegyeznünk, hogy a lámpatestben a LED fényforrás nem cserélhető és a lámpa nem alkalmas kiemelő világításra.</t>
        </is>
      </c>
    </row>
    <row r="1245">
      <c r="A1245" s="3" t="inlineStr">
        <is>
          <t>FLP600SOLAR</t>
        </is>
      </c>
      <c r="B1245" s="2" t="inlineStr">
        <is>
          <t>Home FLP600SOLAR napelemes LED reflektor, 40 db SMD LED, 600lm, mozgásérzékelő, IP65 védettség, szolárpanel, távirányítható</t>
        </is>
      </c>
      <c r="C1245" s="1" t="n">
        <v>12690.0</v>
      </c>
      <c r="D1245" s="7" t="n">
        <f>HYPERLINK("https://www.somogyi.hu/product/home-flp600solar-napelemes-led-reflektor-40-db-smd-led-600lm-mozgaserzekelo-ip65-vedettseg-szolarpanel-taviranyithato-flp600solar-18936","https://www.somogyi.hu/product/home-flp600solar-napelemes-led-reflektor-40-db-smd-led-600lm-mozgaserzekelo-ip65-vedettseg-szolarpanel-taviranyithato-flp600solar-18936")</f>
        <v>0.0</v>
      </c>
      <c r="E1245" s="7" t="n">
        <f>HYPERLINK("https://www.somogyi.hu/data/img/product_main_images/small/18936.jpg","https://www.somogyi.hu/data/img/product_main_images/small/18936.jpg")</f>
        <v>0.0</v>
      </c>
      <c r="F1245" s="2" t="inlineStr">
        <is>
          <t>5999084969301</t>
        </is>
      </c>
      <c r="G1245" s="4" t="inlineStr">
        <is>
          <t>Szeretné megvilágítani kertjét energiatakarékosan és egyszerűen? A Home FLP600SOLAR napelemes LED reflektor ideális megoldást kínál arra, hogy energiatakarékos, környezetbarát módon világítsa meg kültéri területeit, miközben garantálja a hatékony biztonságot. 
A 40 db nagy teljesítményű SMD LED-nek köszönhetően ez a reflektor erős, 600 lumenes fényt bocsát ki, 6000K-es, természetes fehér színhőmérséklettel. A reflektor kiválóan alkalmas kertek, bejáratok, parkolók vagy udvarok megvilágítására, így biztosítva, hogy sötétedés után is biztonságban érezhesse magát.
A beépített PIR mozgásérzékelővel felszerelt reflektor akár 120°-os látószögben is érzékeli a mozgást, 6 méteres távolságig. A mozgás érzékelésekor a reflektor automatikusan 100%-os fényerőre kapcsol, majd körülbelül 30 másodperc után két különböző mód közül választhat: az egyik beállítás szerint teljesen kikapcsol, míg a másik esetén alacsony fényerőre vált. Ez a funkció különösen praktikus, mivel Ön dönti el, hogy csak mozgás esetén szeretné használni a reflektort, vagy folyamatos, diszkrét világítást igényel.
A reflektor vezérlése kényelmesen, távirányítóval történik, amely lehetővé teszi a fényerő szabályozását és az időzítési beállításokat is. A távirányító működéséhez szükséges CR2025 gombelem a csomag része, így az eszközt azonnal használatba veheti. A Home FLP600SOLAR reflektor egyik legnagyobb előnye a szolárpaneles működés, amely biztosítja, hogy nappal a nap energiájával töltse fel a beépített, 16 W-os LiFePO4 akkumulátort (3,2V, 5Ah). Ez az akkumulátor hosszú üzemidőt és megbízható működést garantál, így Önnek nem kell aggódnia az áramellátás miatt, miközben csökkentheti energiafogyasztását és környezeti terhelését.
A reflektor IP65-ös védettségi besorolású, ami azt jelenti, hogy minden irányból védett a vízsugár ellen, így esős időben is tökéletesen működik. A fém és műanyag alapanyagokból készült szerkezet biztosítja a tartósságot és a hosszú élettartamot, még nehéz időjárási körülmények között is. A tartozék rögzítőelemek és a 3 méteres összekötő kábel lehetővé teszik, hogy a szolárpanelt a legoptimálisabb helyre helyezze, hogy az maximálisan ki tudja használni a napenergiát.
Világítsa meg otthonát környezetbarát módon, és élvezze a Home FLP600SOLAR reflektor biztosította biztonságot és kényelmet. Rendelje meg most, hogy energiatakarékos és hatékony kültéri világítást biztosítson a legújabb napelemes technológiával!</t>
        </is>
      </c>
    </row>
    <row r="1246">
      <c r="A1246" s="3" t="inlineStr">
        <is>
          <t>FLP2000SOLAR</t>
        </is>
      </c>
      <c r="B1246" s="2" t="inlineStr">
        <is>
          <t>Home FLP2000SOLAR szolár paneles LED reflektor, PIR mozgásérzékelő, 2000 lumen, 112 db SMD LED, 2 üzemmód, IP65</t>
        </is>
      </c>
      <c r="C1246" s="1" t="n">
        <v>24590.0</v>
      </c>
      <c r="D1246" s="7" t="n">
        <f>HYPERLINK("https://www.somogyi.hu/product/home-flp2000solar-szolar-paneles-led-reflektor-pir-mozgaserzekelo-2000-lumen-112-db-smd-led-2-uzemmod-ip65-flp2000solar-19026","https://www.somogyi.hu/product/home-flp2000solar-szolar-paneles-led-reflektor-pir-mozgaserzekelo-2000-lumen-112-db-smd-led-2-uzemmod-ip65-flp2000solar-19026")</f>
        <v>0.0</v>
      </c>
      <c r="E1246" s="7" t="n">
        <f>HYPERLINK("https://www.somogyi.hu/data/img/product_main_images/small/19026.jpg","https://www.somogyi.hu/data/img/product_main_images/small/19026.jpg")</f>
        <v>0.0</v>
      </c>
      <c r="F1246" s="2" t="inlineStr">
        <is>
          <t>5999084970192</t>
        </is>
      </c>
      <c r="G1246" s="4" t="inlineStr">
        <is>
          <t>Hogyan teremthet optimális kültéri megvilágítást anélkül, hogy az áramfogyasztás miatt aggódna?
A Home FLP200SOLAR szolár paneles LED reflektor 2000 lumen fényerejével és intelligens mozgásérzékelőjével tökéletes megoldás udvarok, kerti utak vagy bejáratok megvilágítására. A szolár panel által nappal feltöltött beépített akkumulátor és az automatikus működés gondoskodik arról, hogy otthonában mindig megfelelő fényviszonyok uralkodjanak, energiafogyasztás nélkül.
Kiemelkedő fényerő és rugalmas működés
- 112 db SMD LED és 2000 lumen fényerő: A 112 darab nagy teljesítményű SMD LED akár nagyobb területeket is könnyedén bevilágít. A 2000 lumen erős fényének köszönhetően biztonságot és láthatóságot teremt minden helyzetben.
- Választható színhőmérséklet (3000K vagy 6000K): Igényeinek megfelelően választhat a melegfehér (3000K) vagy a hidegfehér (6000K) világítás között, így egyszerre teremthet barátságos vagy funkcionalitást segítő környezetet.
- 240°-ban állítható lámpafej: A lámpafej mozgathatósága lehetővé teszi, hogy pontosan oda irányítsa a fényt, ahol a legnagyobb szükség van rá.
Intelligens mozgásérzékelés és energiatakarékos üzemmódok
- PIR mozgásérzékelő: A 120°-os érzékelési szög és a 6 méteres hatótávolság biztosítja, hogy a reflektor pontosan érzékelje a mozgást, és azonnal maximális fényerőre kapcsoljon.
- Két üzemmód az optimális működésért:
Folyamatos világítás: Az első 5 órában 60%-os fényerővel világít, majd automatikusan szenzor módba vált.
Szenzor mód: Mozgás érzékelésekor azonnal 100%-os fényerővel világít, majd 30 másodperc után 5%-os takarékos fényerőre csökkent.
Energiatakarékos és időjárásálló kivitel
- Nappal töltődik, éjszaka világít: A beépített 32700 LiFePO4 akkumulátor (3,2V, 6000mAh) stabil és hosszú távú üzemidőt biztosít. A 6W teljesítményű szolár panel gondoskodik az akkumulátor hatékony feltöltéséről, így hálózati áramforrástól függetlenül is működhet.
- Vízálló és tartós kivitel: Az IP65-ös védelem biztosítja, hogy a reflektor ellenálljon az esőnek és vízsugárnak, így bármilyen időjárási körülmények között biztonságosan használható. Az anti-UV műanyag burkolat és a V0 tűzállóság garantálja a tartósságot és a biztonságot.
Miért válassza a Home FLP200SOLAR szolár paneles LED reflektort?
- Erőteljes, 2000 lumen fényerőt biztosító 112 db SMD LED a hatékony kültéri világításhoz.
- Választható színhőmérséklet (3000K vagy 6000K) az igényekhez igazítva.
- Két energiatakarékos üzemmód a hosszabb működési időért.
- PIR mozgásérzékelő 120°-os szöggel és 6 méteres hatótávolsággal.
- Szolár paneles töltés és nagy kapacitású akkumulátor a hálózattól független működéshez.
- Időjárásálló kivitel IP65 védelemmel és UV-álló anyagokból.
Hozzon létre biztonságos és hatékony világítást otthona körül a Home FLP200SOLAR reflektorral, amely az energiahatékonyság és a modern technológia tökéletes kombinációja!</t>
        </is>
      </c>
    </row>
    <row r="1247">
      <c r="A1247" s="3" t="inlineStr">
        <is>
          <t>FLB 20</t>
        </is>
      </c>
      <c r="B1247" s="2" t="inlineStr">
        <is>
          <t>Home FLB 20 újratölthető LED fényvető, 20 W, 1600 lm - 4 óra, 2200 mAh</t>
        </is>
      </c>
      <c r="C1247" s="1" t="n">
        <v>15890.0</v>
      </c>
      <c r="D1247" s="7" t="n">
        <f>HYPERLINK("https://www.somogyi.hu/product/home-flb-20-ujratoltheto-led-fenyveto-20-w-1600-lm-4-ora-2200-mah-flb-20-17124","https://www.somogyi.hu/product/home-flb-20-ujratoltheto-led-fenyveto-20-w-1600-lm-4-ora-2200-mah-flb-20-17124")</f>
        <v>0.0</v>
      </c>
      <c r="E1247" s="7" t="n">
        <f>HYPERLINK("https://www.somogyi.hu/data/img/product_main_images/small/17124.jpg","https://www.somogyi.hu/data/img/product_main_images/small/17124.jpg")</f>
        <v>0.0</v>
      </c>
      <c r="F1247" s="2" t="inlineStr">
        <is>
          <t>5999084951566</t>
        </is>
      </c>
      <c r="G1247" s="4" t="inlineStr">
        <is>
          <t>Az újratölthető LED-es fényvető egy hordozható, változatosan beállítható, amely kül- és beltéren egyaránt használható.
Az állvány gumírozott talpai biztosítják a csúszásmentes alkalmazást. A keret oldalirányú elforgatására és a szögben levő elfordításra a két állítócsavar szolgál, így legpontosabban pozícionálhatjuk a fény irányát.
A COB LED fényforrás teljesítménye 20 W, a lámpatestben a LED fényforrás nem cserélhető. 
Töltésére 2200 mAh –ás beépített 2x Li-ion akkumulátor szolgál, tartozékként hálózati adaptert, szivargyújtó adaptert, 90 cm –es micro-USB töltőkábelt is kapunk.
A többféle üzemmódban működtethető, a változatos állítási lehetőségeinek köszönhetően széles az alkalmazzák: szerelések, szakmunkák során, autószerelő műhelyekben.</t>
        </is>
      </c>
    </row>
    <row r="1248">
      <c r="A1248" s="3" t="inlineStr">
        <is>
          <t>FLP 1100 SOLAR</t>
        </is>
      </c>
      <c r="B1248" s="2" t="inlineStr">
        <is>
          <t>Home FLP 1100 SOLAR, szolárpaneles LED reflektor, PIR mozgásérzékelő, 1100 lm, 6000 K, 7200 mAh</t>
        </is>
      </c>
      <c r="C1248" s="1" t="n">
        <v>30390.0</v>
      </c>
      <c r="D1248" s="7" t="n">
        <f>HYPERLINK("https://www.somogyi.hu/product/home-flp-1100-solar-szolarpaneles-led-reflektor-pir-mozgaserzekelo-1100-lm-6000-k-7200-mah-flp-1100-solar-17128","https://www.somogyi.hu/product/home-flp-1100-solar-szolarpaneles-led-reflektor-pir-mozgaserzekelo-1100-lm-6000-k-7200-mah-flp-1100-solar-17128")</f>
        <v>0.0</v>
      </c>
      <c r="E1248" s="7" t="n">
        <f>HYPERLINK("https://www.somogyi.hu/data/img/product_main_images/small/17128.jpg","https://www.somogyi.hu/data/img/product_main_images/small/17128.jpg")</f>
        <v>0.0</v>
      </c>
      <c r="F1248" s="2" t="inlineStr">
        <is>
          <t>5999084951603</t>
        </is>
      </c>
      <c r="G1248" s="4" t="inlineStr">
        <is>
          <t>Az FLP 1100 SOLAR LED reflektort kétoldalas nagy felületű szolár panellel ellátott, így a beépített Li-ion akkumulátort könnyedén feltölti a nap sugarai segítségével. Az 55 db SMD 2835 LED 1100 lm fényerővel világít, melynek színhőmérséklete 6000 K. A PIR mozgásérzékelő 8 m hatótávon képes működni. Több funkció közül választhat: folyamatos világítás, mozgásérzékelés vagy kombinált mód.
A lámpatestben a LED fényforrás nem cserélhető.</t>
        </is>
      </c>
    </row>
    <row r="1249">
      <c r="A1249" s="3" t="inlineStr">
        <is>
          <t>FLP22SOLAR</t>
        </is>
      </c>
      <c r="B1249" s="2" t="inlineStr">
        <is>
          <t>Home FLP22SOLAR napelemes LED reflektor, 250 lumen, mozgásérzékelő, 3 világítási mód, IP65</t>
        </is>
      </c>
      <c r="C1249" s="1" t="n">
        <v>3190.0</v>
      </c>
      <c r="D1249" s="7" t="n">
        <f>HYPERLINK("https://www.somogyi.hu/product/home-flp22solar-napelemes-led-reflektor-250-lumen-mozgaserzekelo-3-vilagitasi-mod-ip65-flp22solar-18934","https://www.somogyi.hu/product/home-flp22solar-napelemes-led-reflektor-250-lumen-mozgaserzekelo-3-vilagitasi-mod-ip65-flp22solar-18934")</f>
        <v>0.0</v>
      </c>
      <c r="E1249" s="7" t="n">
        <f>HYPERLINK("https://www.somogyi.hu/data/img/product_main_images/small/18934.jpg","https://www.somogyi.hu/data/img/product_main_images/small/18934.jpg")</f>
        <v>0.0</v>
      </c>
      <c r="F1249" s="2" t="inlineStr">
        <is>
          <t>5999084969288</t>
        </is>
      </c>
      <c r="G1249" s="4" t="inlineStr">
        <is>
          <t>Hogyan teremthet biztonságos és energiatakarékos kültéri világítást otthonában, akár hálózati csatlakozás nélkül is?
A Home FLP22SOLAR napelemes LED reflektor a modern technológia és a környezetbarát megoldások találkozása. Ez a kompakt, mégis hatékony világítási eszköz 250 lumenes fényerejével és három világítási módjával tökéletesen illeszkedik minden kültéri környezetbe, legyen szó udvarról, teraszról vagy garázsbejáróról.
Erőteljes és hatékony megvilágítás
A reflektor 68 db hidegfehér SMD LED-je erőteljes, 250 lumenes fényerőt biztosít, amely 6500K színhőmérsékletével tiszta és természetes megvilágítást nyújt. Az eszköz nemcsak energiatakarékos, de rendkívül hosszú élettartamú is, így biztosítva a megbízható használatot.
A beépített PIR mozgásérzékelő 120°-os érzékelési szögben, akár 6 méteres távolságban érzékeli a mozgást. Három világítási mód közül választhat, hogy pontosan az igényeihez igazítsa a működést:
- 100% fényerő mozgáskor, amely 30 másodperc után automatikusan kikapcsol.
- 100% fényerő mozgáskor, amely 30 másodperc elteltével alacsony fényerőre vált.
- Folyamatos alacsony fényerő, mozgásérzékelés nélkül.
Ezek a funkciók garantálják, hogy otthona mindig megvilágított és biztonságos legyen, miközben az energiafogyasztás minimális marad.
Napelemes működés és időjárásálló kialakítás
A reflektor nappal automatikusan tölti az 1x 3.7 V 18650 Li-ion akkumulátort, így éjszaka mindig készen áll a világításra. Az IP65 védelem biztosítja, hogy az eszköz ellenáll a vízsugárnak és a különböző időjárási viszontagságoknak, így hosszú távon is megbízható megoldást kínál kültéri használatra.
Könnyű telepítés és strapabíró anyagok
A reflektor ABS+PC alapanyagból készült, amely nemcsak strapabíró, de esztétikus is. A mellékelt rögzítő elemekkel könnyedén felszerelhető, méretének (11x10x6 cm) köszönhetően pedig szinte bárhol elhelyezhető, ahol szüksége van rá.
Miért válassza a Home FLP22SOLAR napelemes LED reflektort?
- 250 lumen fényerő a tiszta és erőteljes megvilágításért
- Három világítási mód a személyre szabott működéshez
- PIR mozgásérzékelő 120°-os látószöggel és 6 méteres hatótávval
- Napelemes működés, amely környezetbarát és költséghatékony
- Időjárásálló IP65 védelem a hosszú élettartamért
Ne várjon tovább, hogy energiatakarékos és megbízható világítást teremtsen kültéri területein! A Home FLP22SOLAR napelemes LED reflektor segít otthona biztonságosabbá és kényelmesebbé tételében. Válassza a fenntartható megoldást, és élvezze a modern technológia nyújtotta előnyöket!</t>
        </is>
      </c>
    </row>
    <row r="1250">
      <c r="A1250" s="3" t="inlineStr">
        <is>
          <t>FLB 20C</t>
        </is>
      </c>
      <c r="B1250" s="2" t="inlineStr">
        <is>
          <t>Home FLB 20C újratölthető COB LED fényvető, 20 W, 750 lm - 3,5 óra, 1600 lm - 2 óra, 5400 mAh</t>
        </is>
      </c>
      <c r="C1250" s="1" t="n">
        <v>9990.0</v>
      </c>
      <c r="D1250" s="7" t="n">
        <f>HYPERLINK("https://www.somogyi.hu/product/home-flb-20c-ujratoltheto-cob-led-fenyveto-20-w-750-lm-3-5-ora-1600-lm-2-ora-5400-mah-flb-20c-17284","https://www.somogyi.hu/product/home-flb-20c-ujratoltheto-cob-led-fenyveto-20-w-750-lm-3-5-ora-1600-lm-2-ora-5400-mah-flb-20c-17284")</f>
        <v>0.0</v>
      </c>
      <c r="E1250" s="7" t="n">
        <f>HYPERLINK("https://www.somogyi.hu/data/img/product_main_images/small/17284.jpg","https://www.somogyi.hu/data/img/product_main_images/small/17284.jpg")</f>
        <v>0.0</v>
      </c>
      <c r="F1250" s="2" t="inlineStr">
        <is>
          <t>5999084953065</t>
        </is>
      </c>
      <c r="G1250" s="4" t="inlineStr">
        <is>
          <t>Az újratölthető COB LED-es fényvető, változatosan beállítható, hordozható, letámasztható, felakasztható. A COB LED fényforrás teljesítménye 20 W, a lámpatestben a LED fényforrás nem cserélhető.
Töltésére 2540 Ah Li-ion akkumulátor szolgál, tartozékként 100 cm –es micro-USB töltőkábellel.
A többféle állítási lehetőségeinek és nagy teljesítményének köszönhetően széles az alkalmazási területe: kinti és benti szerelések, szakmunkák során, autószerelő műhelyekben is szívesen alkalmazzák.</t>
        </is>
      </c>
    </row>
    <row r="1251">
      <c r="A1251" s="3" t="inlineStr">
        <is>
          <t>FLB 10C</t>
        </is>
      </c>
      <c r="B1251" s="2" t="inlineStr">
        <is>
          <t>Home FLB 10C újratölthető COB LED fényvető, 2 x 5 W, 500 lm - 4 óra, 1000 lm - 2 óra, 5000 mAh</t>
        </is>
      </c>
      <c r="C1251" s="1" t="n">
        <v>13890.0</v>
      </c>
      <c r="D1251" s="7" t="n">
        <f>HYPERLINK("https://www.somogyi.hu/product/home-flb-10c-ujratoltheto-cob-led-fenyveto-2-x-5-w-500-lm-4-ora-1000-lm-2-ora-5000-mah-flb-10c-17283","https://www.somogyi.hu/product/home-flb-10c-ujratoltheto-cob-led-fenyveto-2-x-5-w-500-lm-4-ora-1000-lm-2-ora-5000-mah-flb-10c-17283")</f>
        <v>0.0</v>
      </c>
      <c r="E1251" s="7" t="n">
        <f>HYPERLINK("https://www.somogyi.hu/data/img/product_main_images/small/17283.jpg","https://www.somogyi.hu/data/img/product_main_images/small/17283.jpg")</f>
        <v>0.0</v>
      </c>
      <c r="F1251" s="2" t="inlineStr">
        <is>
          <t>5999084953058</t>
        </is>
      </c>
      <c r="G1251" s="4" t="inlineStr">
        <is>
          <t>Az újratölthető COB LED-es fényvető hordozható, letámasztható, változatosan beállítható. A hordkeret és fényforrások is mágnesesen rögzíthetők.
A 2x5 W-os COB LED fényforrás külön-külön is kapcsolhatóak, hajtogathatóak így rendkívül széles körben alkalmazzák kül- és beltéren egyaránt.
Tartozékul szolgál 100 cm –es micro-USB töltőkábel. Kétféle világítási módban kapcsolható 500 és 1000 lumen. A lámpatestben a LED fényforrás nem cserélhető.
A többféle állítási lehetőségeinek és mágneses felfogatásának köszönhetően széles a felhasználási területe: kinti és benti szerelések, szakmunkák során, autószerelő műhelyekben is szívesen alkalmazzák.</t>
        </is>
      </c>
    </row>
    <row r="1252">
      <c r="A1252" s="3" t="inlineStr">
        <is>
          <t>FLP1500SOLAR</t>
        </is>
      </c>
      <c r="B1252" s="2" t="inlineStr">
        <is>
          <t>Home FLP1500SOLAR szolár paneles LED reflektor, PIR mozgásérzékelő, 1500 lumen, 88 db SMD LED, 2 üzemmód, IP65</t>
        </is>
      </c>
      <c r="C1252" s="1" t="n">
        <v>14690.0</v>
      </c>
      <c r="D1252" s="7" t="n">
        <f>HYPERLINK("https://www.somogyi.hu/product/home-flp1500solar-szolar-paneles-led-reflektor-pir-mozgaserzekelo-1500-lumen-88-db-smd-led-2-uzemmod-ip65-flp1500solar-19027","https://www.somogyi.hu/product/home-flp1500solar-szolar-paneles-led-reflektor-pir-mozgaserzekelo-1500-lumen-88-db-smd-led-2-uzemmod-ip65-flp1500solar-19027")</f>
        <v>0.0</v>
      </c>
      <c r="E1252" s="7" t="n">
        <f>HYPERLINK("https://www.somogyi.hu/data/img/product_main_images/small/19027.jpg","https://www.somogyi.hu/data/img/product_main_images/small/19027.jpg")</f>
        <v>0.0</v>
      </c>
      <c r="F1252" s="2" t="inlineStr">
        <is>
          <t>5999084970208</t>
        </is>
      </c>
      <c r="G1252" s="4" t="inlineStr">
        <is>
          <t>Hogyan biztosíthatja kertje, udvara vagy bejárata hatékony megvilágítását energiatakarékos módon?
A Home FLP1500SOLAR szolár paneles LED reflektor nemcsak erőteljes, 1500 lumen fényerőt biztosít, hanem mozgásérzékelővel, időzíthető működési móddal és távirányítóval könnyíti meg a használatot. Az IP65-ös védelemmel ellátott reflektor kiváló választás kültéri területek megvilágítására, miközben szolár panelje révén energiatakarékosan üzemel.
Erőteljes fényerő és rugalmas működés
- 88 db SMD LED és állítható fényerő: A 1500 lumen fényerőt biztosító 88 darab SMD LED garantálja a megfelelő megvilágítást akár nagyobb területeken is. Az állítható fényerőnek köszönhetően a világítást mindig az adott igényekhez igazíthatja.
- Két választható színhőmérséklet: A reflektor színhőmérséklete állítható 3000K (melegfehér) és 6000K (hidegfehér) között, így a kívánt hangulatot vagy funkcionális világítást könnyedén beállíthatja.
Intelligens mozgásérzékelő és időzítési funkció
- PIR mozgásérzékelő 120°-os látószöggel: A mozgásérzékelő akár 6 méteres távolságból is érzékeli a mozgást, majd 100%-os fényerővel világít. Amikor már nincs mozgás, a reflektor automatikusan 5%-os fényerőre vált 30 másodperc után, így energiatakarékosan működik.
- Időzíthető működési idő: A távirányító segítségével egyszerűen beállítható a kívánt működési idő és üzemmód, így a reflektor pontosan az Ön igényei szerint fog világítani.
Két üzemmód közül választhat:
- Folyamatos világítás: Alapértelmezett vagy beállított fényerővel, majd automatikus átváltás szenzor módra.
- Szenzor mód: Mozgásérzékeléskor maximális fényerővel világít, majd energiatakarékos, alacsonyabb intenzitásra vált.
Energiatakarékos és időjárásálló kivitel
- Szolár paneles töltés: A nappal töltődő beépített 18650 Li-ion akkumulátor (3,7V 3600mAh) biztosítja, hogy az éjszakai világítás hálózati áramforrás nélkül is megbízhatóan működjön. A 4,5 W teljesítményű szolár panel és az 5 méteres összekötő kábel lehetővé teszi a reflektor rugalmas elhelyezését.
- Tartós és biztonságos kialakítás: Az anti-UV műanyag burkolat V0 tűzállóságú, így hosszú távon is biztonságos működést nyújt. Az IP65-ös védelem garantálja, hogy a reflektor ellenáll az esőnek és a vízsugárnak, így egész évben használható.
Miért válassza a Home FLP1500SOLAR szolár paneles LED reflektort?
- 1500 lumen fényerőt biztosító 88 db SMD LED a hatékony megvilágításért.
- Választható színhőmérséklet (3000K vagy 6000K) az igényeknek megfelelően.
- Két üzemmód: folyamatos vagy mozgásérzékelés alapú világítás.
- Szolár paneles töltés és hosszú üzemidő a beépített akkumulátornak köszönhetően.
- Víz- és időjárásálló kivitel IP65 védelemmel a kültéri használathoz.
Tegye energiatakarékossá és biztonságossá otthona külső területeit a Home FLP1500SOLAR LED reflektorral, amely minden körülmények között megbízható megvilágítást nyújt!</t>
        </is>
      </c>
    </row>
    <row r="1253">
      <c r="A1253" s="3" t="inlineStr">
        <is>
          <t>FLP3SOLAR</t>
        </is>
      </c>
      <c r="B1253" s="2" t="inlineStr">
        <is>
          <t>Home FLP3SOLAR napelemes LED reflektor, 700 lumen, mozgásérzékelő, 3 világítási mód, IP65</t>
        </is>
      </c>
      <c r="C1253" s="1" t="n">
        <v>8690.0</v>
      </c>
      <c r="D1253" s="7" t="n">
        <f>HYPERLINK("https://www.somogyi.hu/product/home-flp3solar-napelemes-led-reflektor-700-lumen-mozgaserzekelo-3-vilagitasi-mod-ip65-flp3solar-18928","https://www.somogyi.hu/product/home-flp3solar-napelemes-led-reflektor-700-lumen-mozgaserzekelo-3-vilagitasi-mod-ip65-flp3solar-18928")</f>
        <v>0.0</v>
      </c>
      <c r="E1253" s="7" t="n">
        <f>HYPERLINK("https://www.somogyi.hu/data/img/product_main_images/small/18928.jpg","https://www.somogyi.hu/data/img/product_main_images/small/18928.jpg")</f>
        <v>0.0</v>
      </c>
      <c r="F1253" s="2" t="inlineStr">
        <is>
          <t>5999084969226</t>
        </is>
      </c>
      <c r="G1253" s="4" t="inlineStr">
        <is>
          <t>Hogyan kombinálhatja a hatékony kültéri világítást az energiatakarékosság előnyeivel?
A Home FLP3SOLAR napelemes LED reflektor a modern kültéri világítási megoldások csúcsa, amely ötvözi a környezetbarát technológiát a kiváló teljesítménnyel. A 700 lumen fényerő és a praktikus mozgásérzékelő funkció garantálja, hogy mindig megfelelő világítást kapjon, miközben csökkenti az energiafogyasztást.
Nagy teljesítményű LED világítás
A reflektorban található 161 db hidegfehér SMD LED összesen 700 lumen fényerőt biztosít, 6500K színhőmérséklettel. Ez a tiszta, erőteljes fény tökéletesen alkalmas udvarok, teraszok, garázsbejárók vagy egyéb kültéri területek megvilágítására. A nagy teljesítményű LED technológia energiatakarékos működést garantál, miközben hosszú élettartamot biztosít.
A reflektor PIR mozgásérzékelővel van felszerelve, amely 120°-os érzékelési szöggel és 6 méteres távolsággal érzékeli a mozgást. Az eszköz három különböző világítási módot kínál:
- A lámpa csak mozgás érzékelésekor világít, majd 30 másodperc után automatikusan kikapcsol.
- Folyamatos alacsony fényerő, amely mozgás érzékelésekor 100%-os fényerőre vált, és 30 másodpercig tart.
- Folyamatos alacsony fényerő mozgásérzékelés nélkül, amely állandó megvilágítást biztosít.
Ezek a funkciók lehetővé teszik, hogy a reflektort pontosan az igényeinek megfelelően használja, miközben energiahatékonyan működik.
Praktikus kialakítás és könnyű telepítés
A állítható dőlésszög és a forgatható, dönthető fülek segítségével a reflektor iránya egyszerűen beállítható, hogy a fényt pontosan oda irányítsa, ahol szükség van rá. A készülékhez tartozó rögzítő elemek lehetővé teszik a gyors és biztonságos telepítést szinte bármilyen felületre.
Környezetbarát energiaforrás és védelem
A reflektor napelemes tápellátással működik, amelyet egy 3.7 V-os, 18650 Li-ion akkumulátor biztosít. Ez az energiahatékony megoldás nemcsak környezetbarát, hanem költséghatékony is, hiszen nincs szükség hálózati áramra. Az IP65 védettségi szint garantálja, hogy a reflektor vízsugár ellen védett, így időjárástól függetlenül megbízhatóan működik.
Miért válassza a Home FLP3SOLAR napelemes LED reflektort?
- 161 db nagy fényerejű SMD LED 700 lumen teljesítménnyel
- Három különböző világítási mód a maximális rugalmasság érdekében
- PIR mozgásérzékelő 120°-os érzékelési szöggel és 6 méteres hatótávolsággal
- Állítható és forgatható kialakítás a pontos fényirányításért
- Környezetbarát napelemes működés és hosszú élettartamú akkumulátor
- IP65 vízálló kivitel, amely ellenáll az időjárási viszontagságoknak
Ne hagyja, hogy a sötét környezet akadályozza! A Home FLP3SOLAR napelemes LED reflektor praktikus és környezetbarát megoldást kínál kültéri világítási igényeire. Telepítse most, és élvezze a biztonságos és energiatakarékos fényt minden éjszaka!</t>
        </is>
      </c>
    </row>
    <row r="1254">
      <c r="A1254" s="3" t="inlineStr">
        <is>
          <t>FLP1800SOLAR</t>
        </is>
      </c>
      <c r="B1254" s="2" t="inlineStr">
        <is>
          <t>Home FLP1800SOLAR napelemes LED reflektor, 112 db SMD LED, 1800lm, mozgásérzékelő, IP65 védettség, szolárpanel, távirányítható</t>
        </is>
      </c>
      <c r="C1254" s="1" t="n">
        <v>21390.0</v>
      </c>
      <c r="D1254" s="7" t="n">
        <f>HYPERLINK("https://www.somogyi.hu/product/home-flp1800solar-napelemes-led-reflektor-112-db-smd-led-1800lm-mozgaserzekelo-ip65-vedettseg-szolarpanel-taviranyithato-flp1800solar-18935","https://www.somogyi.hu/product/home-flp1800solar-napelemes-led-reflektor-112-db-smd-led-1800lm-mozgaserzekelo-ip65-vedettseg-szolarpanel-taviranyithato-flp1800solar-18935")</f>
        <v>0.0</v>
      </c>
      <c r="E1254" s="7" t="n">
        <f>HYPERLINK("https://www.somogyi.hu/data/img/product_main_images/small/18935.jpg","https://www.somogyi.hu/data/img/product_main_images/small/18935.jpg")</f>
        <v>0.0</v>
      </c>
      <c r="F1254" s="2" t="inlineStr">
        <is>
          <t>5999084969295</t>
        </is>
      </c>
      <c r="G1254" s="4" t="inlineStr">
        <is>
          <t>Szeretné megvilágítani kertjét energiatakarékosan és egyszerűen? A Home FLP1800SOLAR napelemes LED reflektor ideális megoldást kínál arra, hogy energiatakarékos, környezetbarát módon világítsa meg kültéri területeit, miközben garantálja a hatékony biztonságot. 
A 112 db nagy teljesítményű SMD LED-nek köszönhetően ez a reflektor erős, 1800 lumenes fényt bocsát ki, 6000K-es, természetes fehér színhőmérséklettel. A reflektor kiválóan alkalmas kertek, bejáratok, parkolók vagy udvarok megvilágítására, így biztosítva, hogy sötétedés után is biztonságban érezhesse magát.
A beépített PIR mozgásérzékelővel felszerelt reflektor akár 120°-os látószögben is érzékeli a mozgást, 6 méteres távolságig. A mozgás érzékelésekor a reflektor automatikusan 100%-os fényerőre kapcsol, majd körülbelül 30 másodperc után két különböző mód közül választhat: az egyik beállítás szerint teljesen kikapcsol, míg a másik esetén alacsony fényerőre vált. Ez a funkció különösen praktikus, mivel Ön dönti el, hogy csak mozgás esetén szeretné használni a reflektort, vagy folyamatos, diszkrét világítást igényel.
A reflektor vezérlése kényelmesen, távirányítóval történik, amely lehetővé teszi a fényerő szabályozását és az időzítési beállításokat is. A távirányító működéséhez szükséges CR2025 gombelem a csomag része, így az eszközt azonnal használatba veheti. A Home FLP1800SOLAR reflektor egyik legnagyobb előnye a szolárpaneles működés, amely biztosítja, hogy nappal a nap energiájával töltse fel a beépített, 3,2V 15AH LiFePO4 akkumulátrort (3,2V, 5Ah). Ez az akkumulátor hosszú üzemidőt és megbízható működést garantál, így Önnek nem kell aggódnia az áramellátás miatt, miközben csökkentheti energiafogyasztását és környezeti terhelését.
A reflektor IP65-ös védettségi besorolású, ami azt jelenti, hogy minden irányból védett a vízsugár ellen, így esős időben is tökéletesen működik. A fém és műanyag alapanyagokból készült szerkezet biztosítja a tartósságot és a hosszú élettartamot, még nehéz időjárási körülmények között is. A tartozék rögzítőelemek és a 3 méteres összekötő kábel lehetővé teszik, hogy a szolárpanelt a legoptimálisabb helyre helyezze, hogy az maximálisan ki tudja használni a napenergiát.
Világítsa meg otthonát környezetbarát módon, és élvezze a Home FLP1800SOLAR reflektor biztosította biztonságot és kényelmet. Rendelje meg most, hogy energiatakarékos és hatékony kültéri világítást biztosítson a legújabb napelemes technológiával!</t>
        </is>
      </c>
    </row>
    <row r="1255">
      <c r="A1255" s="3" t="inlineStr">
        <is>
          <t>FLP 1600 SOLAR</t>
        </is>
      </c>
      <c r="B1255" s="2" t="inlineStr">
        <is>
          <t>Home FLP 1600 SOLAR, szolárpaneles LED reflektor, PIR mozgásérzékelő, 1600 lm, 6000 K, 5400 mAh</t>
        </is>
      </c>
      <c r="C1255" s="1" t="n">
        <v>28690.0</v>
      </c>
      <c r="D1255" s="7" t="n">
        <f>HYPERLINK("https://www.somogyi.hu/product/home-flp-1600-solar-szolarpaneles-led-reflektor-pir-mozgaserzekelo-1600-lm-6000-k-5400-mah-flp-1600-solar-17129","https://www.somogyi.hu/product/home-flp-1600-solar-szolarpaneles-led-reflektor-pir-mozgaserzekelo-1600-lm-6000-k-5400-mah-flp-1600-solar-17129")</f>
        <v>0.0</v>
      </c>
      <c r="E1255" s="7" t="n">
        <f>HYPERLINK("https://www.somogyi.hu/data/img/product_main_images/small/17129.jpg","https://www.somogyi.hu/data/img/product_main_images/small/17129.jpg")</f>
        <v>0.0</v>
      </c>
      <c r="F1255" s="2" t="inlineStr">
        <is>
          <t>5999084951610</t>
        </is>
      </c>
      <c r="G1255" s="4" t="inlineStr">
        <is>
          <t>Az FLP 1600 SOLAR LED reflektor számos helyre felhelyezhető, így az olyan helyeken is lehet világítása, ahol nincs a vezeték kiépítve. Rögzíthető falra vagy akár póznára is, de szerelési munkálatokhoz is kiválóan alkalmas, mivel bárhová magával viheti. A LED reflektor 9,5 Wp monokristályos szilikon szolár panellel ellátott, így a beépített Lithium akkumulátort könnyedén feltölti a nap sugarai segítségével. A 40 db SMD 2835 LED 1600 lm fényerővel világít, melynek színhőmérséklete 6000 K. A PIR mozgásérzékelő 3-8 m hatótávolságon érzékel. További számos előnnyel rendelkezik: rendkívül hosszú működési idő, állítható dőlésszög, önszabályozó program jellemzi.
A lámpatestben a LED fényforrás nem cserélhető.</t>
        </is>
      </c>
    </row>
    <row r="1256">
      <c r="A1256" s="6" t="inlineStr">
        <is>
          <t xml:space="preserve">   Világítás / Asztali lámpa</t>
        </is>
      </c>
      <c r="B1256" s="6" t="inlineStr">
        <is>
          <t/>
        </is>
      </c>
      <c r="C1256" s="6" t="inlineStr">
        <is>
          <t/>
        </is>
      </c>
      <c r="D1256" s="6" t="inlineStr">
        <is>
          <t/>
        </is>
      </c>
      <c r="E1256" s="6" t="inlineStr">
        <is>
          <t/>
        </is>
      </c>
      <c r="F1256" s="6" t="inlineStr">
        <is>
          <t/>
        </is>
      </c>
      <c r="G1256" s="6" t="inlineStr">
        <is>
          <t/>
        </is>
      </c>
    </row>
    <row r="1257">
      <c r="A1257" s="3" t="inlineStr">
        <is>
          <t>LA 51</t>
        </is>
      </c>
      <c r="B1257" s="2" t="inlineStr">
        <is>
          <t>Home LA 51 LED-es asztali lámpa, óra, 5 W / 400 lm, hőmérő, naptár, ébresztés, melegfehér / hidegfehér / természetes színhőmérsékletek</t>
        </is>
      </c>
      <c r="C1257" s="1" t="n">
        <v>14690.0</v>
      </c>
      <c r="D1257" s="7" t="n">
        <f>HYPERLINK("https://www.somogyi.hu/product/home-la-51-led-es-asztali-lampa-ora-5-w-400-lm-homero-naptar-ebresztes-melegfeher-hidegfeher-termeszetes-szinhomersekletek-la-51-18174","https://www.somogyi.hu/product/home-la-51-led-es-asztali-lampa-ora-5-w-400-lm-homero-naptar-ebresztes-melegfeher-hidegfeher-termeszetes-szinhomersekletek-la-51-18174")</f>
        <v>0.0</v>
      </c>
      <c r="E1257" s="7" t="n">
        <f>HYPERLINK("https://www.somogyi.hu/data/img/product_main_images/small/18174.jpg","https://www.somogyi.hu/data/img/product_main_images/small/18174.jpg")</f>
        <v>0.0</v>
      </c>
      <c r="F1257" s="2" t="inlineStr">
        <is>
          <t>5999084961961</t>
        </is>
      </c>
      <c r="G1257" s="4" t="inlineStr">
        <is>
          <t>Szeretne egy modern, funkciókban gazdag asztali lámpát, amely nemcsak világít, hanem praktikus információkat is nyújt?
A Home LA 51 LED-es asztali lámpa kiváló választás minden olyan otthonba vagy irodába, ahol a stílus és a funkcionalitás találkozik. Ez a sokoldalú lámpa nemcsak erős, állítható fényerőt biztosít, hanem beépített hőmérőt, órát, naptárt és ébresztő funkciót is kínál. Az érintőgombos vezérlés és a változtatható színhőmérséklet lehetővé teszi, hogy az aktuális igényekhez igazítsa a fényviszonyokat, legyen szó munkáról, tanulásról vagy pihenésről.
Kiemelkedő fényerő és színhőmérséklet-választék
A lámpa 5 W teljesítményű és 400 lumen fényerőt biztosít, amely bőséges megvilágítást nyújt minden tevékenységhez. Az 5 fokozatban állítható fényerő lehetővé teszi, hogy a környezethez és a hangulathoz igazítsa a világítást. A lámpa különlegessége, hogy háromféle színhőmérsékletet kínál: melegfehér, hidegfehér és természetes fény, így mindig a legkényelmesebb megvilágítást választhatja.
Intelligens funkciók: óra, hőmérő, naptár és ébresztő
A kék háttérvilágítású LCD kijelző folyamatosan megjeleníti az aktuális időt, dátumot és a hőmérsékletet. Az óra beállítható 12 vagy 24 órás formátumban, és praktikus ébresztő funkcióval is rendelkezik, amely tökéletes megoldás az időben való ébredéshez vagy fontos események emlékeztetőjeként. Az óra működéséhez szükséges 1 db 3 V-os CR 2032 elem a csomag részét képezi, így azonnal használatba vehető.
Modern, érintőgombos vezérlés és USB tápellátás
A lámpa érintőgombos vezérlése egyszerű és elegáns kezelést biztosít. Az USB csatlakozón keresztüli tápellátás rugalmas használatot tesz lehetővé, a csomagban található hálózati adapter biztosítja a 230 V-os áramellátáshoz való csatlakozást. Az asztali lámpa mérete 26 x 33 x 15 cm, így ideális választás íróasztalokhoz, éjjeliszekrényekhez vagy akár tanulószobákba is.
Tartós, beépített LED fényforrás
A lámpatestben található 4 melegfehér és 10 hidegfehér SMD LED hosszú élettartamot és alacsony energiafogyasztást biztosít. A LED-ek nem cserélhetők, azonban rendkívül tartósak, így hosszú távon megbízható fényforrást nyújtanak.
Miért válassza a Home LA 51 LED-es asztali lámpát?
– Állítható fényerő és változtatható színhőmérséklet, hogy mindig a megfelelő megvilágítást kapja
 – Beépített LCD kijelző, amely folyamatosan mutatja az időt, dátumot és hőmérsékletet 
– Ébresztő funkció a mindennapi kényelem érdekében 
– USB tápellátás tartozék hálózati adapterrel 
– Kompakt és modern design, amely minden környezetbe tökéletesen illeszkedik 
– Tartós, nem cserélhető LED fényforrás, amely hosszú élettartamot garantál
Dobja fel otthonát vagy irodáját a Home LA 51 LED-es asztali lámpával, amely nemcsak megvilágítja a teret, hanem praktikus információkkal is ellátja Önt. Válassza ezt a stílusos és funkcionális lámpát, és élvezze a modern technológia kényelmét minden nap!</t>
        </is>
      </c>
    </row>
    <row r="1258">
      <c r="A1258" s="3" t="inlineStr">
        <is>
          <t>LA 4</t>
        </is>
      </c>
      <c r="B1258" s="2" t="inlineStr">
        <is>
          <t>Home LA 4 asztali lámpa, LED, éjjeli fény, állítható fejrész, 5 fokozat, változtatható fényerő / színhőmérséklet</t>
        </is>
      </c>
      <c r="C1258" s="1" t="n">
        <v>11890.0</v>
      </c>
      <c r="D1258" s="7" t="n">
        <f>HYPERLINK("https://www.somogyi.hu/product/home-la-4-asztali-lampa-led-ejjeli-feny-allithato-fejresz-5-fokozat-valtoztathato-fenyero-szinhomerseklet-la-4-18201","https://www.somogyi.hu/product/home-la-4-asztali-lampa-led-ejjeli-feny-allithato-fejresz-5-fokozat-valtoztathato-fenyero-szinhomerseklet-la-4-18201")</f>
        <v>0.0</v>
      </c>
      <c r="E1258" s="7" t="n">
        <f>HYPERLINK("https://www.somogyi.hu/data/img/product_main_images/small/18201.jpg","https://www.somogyi.hu/data/img/product_main_images/small/18201.jpg")</f>
        <v>0.0</v>
      </c>
      <c r="F1258" s="2" t="inlineStr">
        <is>
          <t>5999084962234</t>
        </is>
      </c>
      <c r="G1258" s="4" t="inlineStr">
        <is>
          <t>Gondolkozott már azon, hogyan adhatná meg otthonának azt a tökéletes kiegészítő világítást, amely alkalmazkodik minden igényéhez? A Home LA 4 asztali lámpa innovatív megoldást kínál, elegáns kialakításával és állítható fejrészével, amely jobbra és balra is irányítható, így tökéletes világítást biztosít olvasáshoz, munkához vagy pihenéshez.
Az érintőgombokkal könnyedén szabályozhatja a fényerőt és a színhőmérsékletet, választhat melegfehér és hidegfehér SMD LED-ek között, öt különböző fokozatban. A külön bekapcsolható éjjeli fény funkció ideális választás a késő esti órákban, míg a 45 perces kikapcsolásidőzítő gondoskodik róla, hogy soha ne feledkezzen meg az energia takarékos használatról.
Az integrált vezetékes USB töltőaljzattal (5 V / max. 1,0 A) a lámpa mellett könnyedén töltheti mobil eszközeit is, a csomagban található USB A – USB C tápvezetékkel együtt. Az ajánlott hálózati USB adapter (5 V / min. 2,1 A) segít, hogy eszközei hatékonyan töltődjenek.
Az 11,5 x 41,2 x 37 cm méretű Home LA 4 asztali lámpa nem csak praktikus, hanem stílusos kiegészítője is lehet otthonának vagy munkahelyének. Válassza ezt az asztali lámpát, hogy egy modern világítási megoldást hozzon életébe, ahol a fényerő és színhőmérséklet egy érintéssel szabályozható.</t>
        </is>
      </c>
    </row>
    <row r="1259">
      <c r="A1259" s="3" t="inlineStr">
        <is>
          <t>LA 3</t>
        </is>
      </c>
      <c r="B1259" s="2" t="inlineStr">
        <is>
          <t>Home LA 3 LED-es asztali lámpa, 20 db hidegfehér LED, 2 W / 200 lm, 3 fokozat, érintőgomb</t>
        </is>
      </c>
      <c r="C1259" s="1" t="n">
        <v>4890.0</v>
      </c>
      <c r="D1259" s="7" t="n">
        <f>HYPERLINK("https://www.somogyi.hu/product/home-la-3-led-es-asztali-lampa-20-db-hidegfeher-led-2-w-200-lm-3-fokozat-erintogomb-la-3-14937","https://www.somogyi.hu/product/home-la-3-led-es-asztali-lampa-20-db-hidegfeher-led-2-w-200-lm-3-fokozat-erintogomb-la-3-14937")</f>
        <v>0.0</v>
      </c>
      <c r="E1259" s="7" t="n">
        <f>HYPERLINK("https://www.somogyi.hu/data/img/product_main_images/small/14937.jpg","https://www.somogyi.hu/data/img/product_main_images/small/14937.jpg")</f>
        <v>0.0</v>
      </c>
      <c r="F1259" s="2" t="inlineStr">
        <is>
          <t>5999084929725</t>
        </is>
      </c>
      <c r="G1259" s="4" t="inlineStr">
        <is>
          <t>Ön is gyakran szokott esti lámpafénynél olvasni, esetleg az egyéb teendői végezni? Ez esetben érdemes olyan lámpát vásárolni, amely kellő fényt biztosít!
Keresse az LA 3-as LED-es asztali lámpát, amelynek fényerejét 20 db hidegfehér SMD LED biztosítja. A fényerő 3 fokozatban változtatható.
A lámpa továbbá érintőgombokkal rendelkezik. A termékhez tartozik egy USB-s hálózati adapter.</t>
        </is>
      </c>
    </row>
    <row r="1260">
      <c r="A1260" s="3" t="inlineStr">
        <is>
          <t>LA 10 Q</t>
        </is>
      </c>
      <c r="B1260" s="2" t="inlineStr">
        <is>
          <t>Home LA 10 Q asztali lámpa vezeték nélküli töltővel, 600 lm, 6 W, 5 fokozat, vezeték nélküli Qi töltő (max. 10 W)</t>
        </is>
      </c>
      <c r="C1260" s="1" t="n">
        <v>15290.0</v>
      </c>
      <c r="D1260" s="7" t="n">
        <f>HYPERLINK("https://www.somogyi.hu/product/home-la-10-q-asztali-lampa-vezetek-nelkuli-toltovel-600-lm-6-w-5-fokozat-vezetek-nelkuli-qi-tolto-max-10-w-la-10-q-18200","https://www.somogyi.hu/product/home-la-10-q-asztali-lampa-vezetek-nelkuli-toltovel-600-lm-6-w-5-fokozat-vezetek-nelkuli-qi-tolto-max-10-w-la-10-q-18200")</f>
        <v>0.0</v>
      </c>
      <c r="E1260" s="7" t="n">
        <f>HYPERLINK("https://www.somogyi.hu/data/img/product_main_images/small/18200.jpg","https://www.somogyi.hu/data/img/product_main_images/small/18200.jpg")</f>
        <v>0.0</v>
      </c>
      <c r="F1260" s="2" t="inlineStr">
        <is>
          <t>5999084962227</t>
        </is>
      </c>
      <c r="G1260" s="4" t="inlineStr">
        <is>
          <t>Az LA 10 Q asztali lámpa egy innovatív és sokoldalú megoldás a mindennapi életben. Ezzel az intelligens lámpával nem csak fényt és kényelmet hozhat otthonába, de vezeték nélküli töltési lehetőséget is biztosít mobil eszközeihez.
Az LA 10 Q asztali lámpa 600 lumen fényerőt és 6 W teljesítményt kínál, így elegendő világosságot biztosít a tevékenységeihez. A fényerőt könnyedén beállíthatja 5 különböző fokozatban. A fejrész jobbra-balra is állítható, így a fényt pontosan irányíthatja.
Az asztali lámpa kihúzható telefontartóval rendelkezik, amely kényelmesen és biztonságosan tárolja mobil eszközét. Az érintőgombok lehetővé teszik a könnyű és intuitív működtetést. LA 10 Q lámpa változtatható színhőmérsékletet kínál, amely melegfehér, hidegfehér és természetes fényt is biztosít.
A lámpában található hőmérő, óra (12/24 órás formátumban), naptár és ébresztési funkcióval is rendelkezik. Az asztali lámpában beépített vezeték nélküli töltő található, amely támogatja a Qi max. 10W töltést.
Többé nincs szükség kábelekre, vagy külön töltőre a mobil eszközei számára. Az óra tápellátásához egy 3 V (CR 2032) elem tartozik. Rendelje meg ma, és hozza be a modern kényelmet otthonába az LA 10 Q-val!</t>
        </is>
      </c>
    </row>
    <row r="1261">
      <c r="A1261" s="6" t="inlineStr">
        <is>
          <t xml:space="preserve">   Világítás / Foglalatátalakító</t>
        </is>
      </c>
      <c r="B1261" s="6" t="inlineStr">
        <is>
          <t/>
        </is>
      </c>
      <c r="C1261" s="6" t="inlineStr">
        <is>
          <t/>
        </is>
      </c>
      <c r="D1261" s="6" t="inlineStr">
        <is>
          <t/>
        </is>
      </c>
      <c r="E1261" s="6" t="inlineStr">
        <is>
          <t/>
        </is>
      </c>
      <c r="F1261" s="6" t="inlineStr">
        <is>
          <t/>
        </is>
      </c>
      <c r="G1261" s="6" t="inlineStr">
        <is>
          <t/>
        </is>
      </c>
    </row>
    <row r="1262">
      <c r="A1262" s="3" t="inlineStr">
        <is>
          <t>E14/E27</t>
        </is>
      </c>
      <c r="B1262" s="2" t="inlineStr">
        <is>
          <t>Home E14/E27 foglalatátalakító adapter, max. 2 A</t>
        </is>
      </c>
      <c r="C1262" s="1" t="n">
        <v>629.0</v>
      </c>
      <c r="D1262" s="7" t="n">
        <f>HYPERLINK("https://www.somogyi.hu/product/home-e14-e27-foglalatatalakito-adapter-max-2-a-e14-e27-14926","https://www.somogyi.hu/product/home-e14-e27-foglalatatalakito-adapter-max-2-a-e14-e27-14926")</f>
        <v>0.0</v>
      </c>
      <c r="E1262" s="7" t="n">
        <f>HYPERLINK("https://www.somogyi.hu/data/img/product_main_images/small/14926.jpg","https://www.somogyi.hu/data/img/product_main_images/small/14926.jpg")</f>
        <v>0.0</v>
      </c>
      <c r="F1262" s="2" t="inlineStr">
        <is>
          <t>5999084929619</t>
        </is>
      </c>
      <c r="G1262" s="4" t="inlineStr">
        <is>
          <t>Keresse a megbízható kivitelezésben készült foglalat átalakítókat!  Az E14/E27 típusú foglalat átalakító lehetővé teszi a különböző fényforrások használatát az E 27-es foglalatokban. E 14 → E27. Válassza a minőségi termékeket és rendeljen webáruházunkból!</t>
        </is>
      </c>
    </row>
    <row r="1263">
      <c r="A1263" s="3" t="inlineStr">
        <is>
          <t>GU10/E14</t>
        </is>
      </c>
      <c r="B1263" s="2" t="inlineStr">
        <is>
          <t>Home GU10/E14 foglalatátalakító adapter, max. 2 A</t>
        </is>
      </c>
      <c r="C1263" s="1" t="n">
        <v>749.0</v>
      </c>
      <c r="D1263" s="7" t="n">
        <f>HYPERLINK("https://www.somogyi.hu/product/home-gu10-e14-foglalatatalakito-adapter-max-2-a-gu10-e14-9035","https://www.somogyi.hu/product/home-gu10-e14-foglalatatalakito-adapter-max-2-a-gu10-e14-9035")</f>
        <v>0.0</v>
      </c>
      <c r="E1263" s="7" t="n">
        <f>HYPERLINK("https://www.somogyi.hu/data/img/product_main_images/small/09035.jpg","https://www.somogyi.hu/data/img/product_main_images/small/09035.jpg")</f>
        <v>0.0</v>
      </c>
      <c r="F1263" s="2" t="inlineStr">
        <is>
          <t>5998312779156</t>
        </is>
      </c>
      <c r="G1263" s="4" t="inlineStr">
        <is>
          <t>Önnek is gyakran bosszúságot okoz, amikor az energiatakarékos izzókat nem tudja használni a hagyományos foglalatokban? Aggodalomra azonban semmi ok, hiszen van megoldás a problémájára. 
Ismerje meg a GU10/E14-es foglalatátalakítót! Segítségével immáron könnyedén megoldható a hagyományos E14-es foglalatok használata. Válassza a legjobb minőséget és rendeljen webáruházunkból!</t>
        </is>
      </c>
    </row>
    <row r="1264">
      <c r="A1264" s="3" t="inlineStr">
        <is>
          <t>E14/GU10</t>
        </is>
      </c>
      <c r="B1264" s="2" t="inlineStr">
        <is>
          <t>Home E14/GU10 foglalatátalakító adapter, max. 0,3 A</t>
        </is>
      </c>
      <c r="C1264" s="1" t="n">
        <v>779.0</v>
      </c>
      <c r="D1264" s="7" t="n">
        <f>HYPERLINK("https://www.somogyi.hu/product/home-e14-gu10-foglalatatalakito-adapter-max-0-3-a-e14-gu10-9744","https://www.somogyi.hu/product/home-e14-gu10-foglalatatalakito-adapter-max-0-3-a-e14-gu10-9744")</f>
        <v>0.0</v>
      </c>
      <c r="E1264" s="7" t="n">
        <f>HYPERLINK("https://www.somogyi.hu/data/img/product_main_images/small/09744.jpg","https://www.somogyi.hu/data/img/product_main_images/small/09744.jpg")</f>
        <v>0.0</v>
      </c>
      <c r="F1264" s="2" t="inlineStr">
        <is>
          <t>5998312784747</t>
        </is>
      </c>
      <c r="G1264" s="4" t="inlineStr">
        <is>
          <t>Az E14/GU10 foglalatátalakító rendkívül nagy segítséget nyújt a háztartások számára, mivel lehetővé teszi az izzók és energiatakarékos fényforrások használatát a GU10-es foglalatokban. 
Segítségével immáron könnyedén megoldható a hagyományos E14-es foglalattal rendelkező izzók használata. Válassza a legjobb minőséget és rendeljen webáruházunkból!</t>
        </is>
      </c>
    </row>
    <row r="1265">
      <c r="A1265" s="3" t="inlineStr">
        <is>
          <t>E27-GU10</t>
        </is>
      </c>
      <c r="B1265" s="2" t="inlineStr">
        <is>
          <t>Home E27-GU10 foglalatátalakító adapter, max. 0,3 A</t>
        </is>
      </c>
      <c r="C1265" s="1" t="n">
        <v>729.0</v>
      </c>
      <c r="D1265" s="7" t="n">
        <f>HYPERLINK("https://www.somogyi.hu/product/home-e27-gu10-foglalatatalakito-adapter-max-0-3-a-e27-gu10-18111","https://www.somogyi.hu/product/home-e27-gu10-foglalatatalakito-adapter-max-0-3-a-e27-gu10-18111")</f>
        <v>0.0</v>
      </c>
      <c r="E1265" s="7" t="n">
        <f>HYPERLINK("https://www.somogyi.hu/data/img/product_main_images/small/18111.jpg","https://www.somogyi.hu/data/img/product_main_images/small/18111.jpg")</f>
        <v>0.0</v>
      </c>
      <c r="F1265" s="2" t="inlineStr">
        <is>
          <t>5999084961336</t>
        </is>
      </c>
      <c r="G1265" s="4" t="inlineStr">
        <is>
          <t>Hogyan használhat különböző E27 fényforrásokat GU10 foglalatokban anélkül, hogy új lámpát kellene vásárolnia?
A Home E27-GU10 foglalatátalakító adapter egyszerű, mégis rendkívül praktikus megoldást kínál, ha E27 típusú izzókat szeretne alkalmazni GU10 foglalattal rendelkező lámpatestekben. Ezzel az adapterrel nincs szükség új fényforrásra vagy lámpára, hiszen a kompatibilitást egyetlen eszköz biztosítja, így időt és pénzt takaríthat meg.
Kiváló kompatibilitás és biztonságos használat
Az adapter lehetővé teszi a különböző E27 fényforrások – például hagyományos izzók, LED-ek vagy energiatakarékos fényforrások – egyszerű használatát GU10 foglalattal rendelkező lámpákban. A maximális terhelhetősége 0,3 A, amely megfelel a legtöbb E27 izzó által igényelt áramerősségnek. Az adapter stabil és biztonságos csatlakozást biztosít, így zavartalanul élvezheti a kívánt világítást.
Egyszerű telepítés és hosszú élettartam
A Home E27-GU10 adapter használata rendkívül egyszerű: csak helyezze be a GU10 foglalatba, majd csavarja bele az E27 fényforrást, és máris használatra kész. Nincs szükség külön szerszámokra vagy szakértelemre. A strapabíró kialakításnak köszönhetően hosszú távon is megbízható megoldást nyújt, így bátran alkalmazható akár otthoni, akár irodai környezetben.
Miért érdemes a Home E27-GU10 foglalatátalakító adaptert választani?
- Lehetővé teszi különböző E27 típusú fényforrások használatát GU10 foglalatokban
- Egyszerű telepítés, amely nem igényel szerszámokat vagy szakértelmet
- 0,3 A maximális áramerősség, amely kompatibilis a legtöbb E27 fényforrással
- Strapabíró, hosszú élettartamú kialakítás, amely biztonságos használatot garantál
Ne vásároljon új lámpát, ha egyszerűbben is megoldhatja világítási igényeit! Válassza a Home E27-GU10 foglalatátalakító adaptert, és élvezze a különféle E27 fényforrások nyújtotta sokoldalúságot a meglévő lámpatestjeiben!</t>
        </is>
      </c>
    </row>
    <row r="1266">
      <c r="A1266" s="3" t="inlineStr">
        <is>
          <t>E27/E14</t>
        </is>
      </c>
      <c r="B1266" s="2" t="inlineStr">
        <is>
          <t>Home E27/E14 foglalatátalakító adapter, max. 2 A</t>
        </is>
      </c>
      <c r="C1266" s="1" t="n">
        <v>629.0</v>
      </c>
      <c r="D1266" s="7" t="n">
        <f>HYPERLINK("https://www.somogyi.hu/product/home-e27-e14-foglalatatalakito-adapter-max-2-a-e27-e14-14925","https://www.somogyi.hu/product/home-e27-e14-foglalatatalakito-adapter-max-2-a-e27-e14-14925")</f>
        <v>0.0</v>
      </c>
      <c r="E1266" s="7" t="n">
        <f>HYPERLINK("https://www.somogyi.hu/data/img/product_main_images/small/14925.jpg","https://www.somogyi.hu/data/img/product_main_images/small/14925.jpg")</f>
        <v>0.0</v>
      </c>
      <c r="F1266" s="2" t="inlineStr">
        <is>
          <t>5999084929602</t>
        </is>
      </c>
      <c r="G1266" s="4" t="inlineStr">
        <is>
          <t>Hogyan használhatja ki hatékonyan a meglévő E14 foglalatokat különböző E27-es fényforrásokkal?
A Home E27/E14 foglalatátalakító adapter praktikus megoldást nyújt, ha E14-es foglalatokba szeretne nagyobb, E27-es fényforrásokat csatlakoztatni. Ezzel a kisméretű, mégis robusztus átalakítóval egyszerűen és gyorsan növelheti a világítási lehetőségeket anélkül, hogy új lámpatestet kellene vásárolnia. Ideális választás minden olyan helyzetben, amikor nagyobb teljesítményű vagy szélesebb fényeloszlású fényforrást szeretne alkalmazni.
Kiváló kompatibilitás és sokoldalú felhasználhatóság
Az adapter E27-es menettel rendelkező fényforrások csatlakoztatását teszi lehetővé E14-es foglalatokban, így szélesebb körű fényforrás-választékot biztosít. Ezáltal könnyedén használhat LED, halogén vagy energiatakarékos izzókat, akár 500 W teljesítményig. A kompatibilitás különösen hasznos lehet otthoni és irodai környezetben, ahol különböző típusú lámpatestek találhatók.
Megbízható működés és biztonság
A Home E27/E14 foglalatátalakító adapter 250 V / 50 Hz-es tápfeszültségre lett tervezve, amely megfelel a legtöbb európai elektromos hálózati szabványnak. A maximális 2 A áramerősség biztosítja, hogy az adapter stabilan és biztonságosan működjön, miközben megakadályozza a túlmelegedést és az áramkörök túlterhelését. A strapabíró kialakítás hosszú távú használatra is alkalmassá teszi.
Egyszerű telepítés és diszkrét megjelenés
Az adapter kis mérete lehetővé teszi a gyors és egyszerű telepítést, mindössze néhány mozdulattal csatlakoztatható a meglévő E14-es foglalathoz. Letisztult, semleges megjelenésének köszönhetően diszkréten illeszkedik bármilyen lámpatesthez, így nem rontja a lámpa esztétikai megjelenését.
Miért érdemes a Home E27/E14 foglalatátalakító adaptert választani?
– Lehetővé teszi az E27-es fényforrások használatát E14-es foglalatokban 
– Kompatibilis különböző fényforrástípusokkal, akár 500 W teljesítményig 
– Megbízható működést nyújt 250 V / 50 Hz és 2 A terhelhetőség mellett 
– Gyors és egyszerű telepítés bármilyen lámpatestben 
– Diszkrét megjelenése révén bármilyen környezetben jól használható
Növelje világítási lehetőségeit ezzel a sokoldalú és megbízható adapterrel! A Home E27/E14 foglalatátalakító praktikus választás, ha rugalmasabbá szeretné tenni meglévő lámpatesteit, és egyszerűen csatlakoztatna különböző fényforrásokat anélkül, hogy új foglalatokat kellene beszerelnie.</t>
        </is>
      </c>
    </row>
    <row r="1267">
      <c r="A1267" s="3" t="inlineStr">
        <is>
          <t>GU10/E27</t>
        </is>
      </c>
      <c r="B1267" s="2" t="inlineStr">
        <is>
          <t>Home GU10/E27 foglalatátalakító adapter, max. 2 A</t>
        </is>
      </c>
      <c r="C1267" s="1" t="n">
        <v>729.0</v>
      </c>
      <c r="D1267" s="7" t="n">
        <f>HYPERLINK("https://www.somogyi.hu/product/home-gu10-e27-foglalatatalakito-adapter-max-2-a-gu10-e27-9034","https://www.somogyi.hu/product/home-gu10-e27-foglalatatalakito-adapter-max-2-a-gu10-e27-9034")</f>
        <v>0.0</v>
      </c>
      <c r="E1267" s="7" t="n">
        <f>HYPERLINK("https://www.somogyi.hu/data/img/product_main_images/small/09034.jpg","https://www.somogyi.hu/data/img/product_main_images/small/09034.jpg")</f>
        <v>0.0</v>
      </c>
      <c r="F1267" s="2" t="inlineStr">
        <is>
          <t>5998312779149</t>
        </is>
      </c>
      <c r="G1267" s="4" t="inlineStr">
        <is>
          <t>Önnek is gyakran bosszúságot okoz, amikor az energiatakarékos izzókat nem tudja használni a hagyományos foglalatokban? Aggodalomra azonban semmi ok, hiszen van megoldás a problémájára. 
Ismerje meg a GU10/E27-es foglalatátalakítót! Segítségével immáron könnyedén megoldható a hagyományos E27-es foglalatok használata. Válassza a legjobb minőséget és rendeljen webáruházunkból!</t>
        </is>
      </c>
    </row>
    <row r="1268">
      <c r="A1268" s="6" t="inlineStr">
        <is>
          <t xml:space="preserve">   Hangtechnika / Autórádió és multimédia lejátszó</t>
        </is>
      </c>
      <c r="B1268" s="6" t="inlineStr">
        <is>
          <t/>
        </is>
      </c>
      <c r="C1268" s="6" t="inlineStr">
        <is>
          <t/>
        </is>
      </c>
      <c r="D1268" s="6" t="inlineStr">
        <is>
          <t/>
        </is>
      </c>
      <c r="E1268" s="6" t="inlineStr">
        <is>
          <t/>
        </is>
      </c>
      <c r="F1268" s="6" t="inlineStr">
        <is>
          <t/>
        </is>
      </c>
      <c r="G1268" s="6" t="inlineStr">
        <is>
          <t/>
        </is>
      </c>
    </row>
    <row r="1269">
      <c r="A1269" s="3" t="inlineStr">
        <is>
          <t>VB 4000</t>
        </is>
      </c>
      <c r="B1269" s="2" t="inlineStr">
        <is>
          <t>SAL VB 4000 autórádió és multimédiás lejátszó, 4 x 45 W, 4 x RCA aljzat, BT, FM RDS, MP3, WMA, USB, SD, AUX</t>
        </is>
      </c>
      <c r="C1269" s="1" t="n">
        <v>21090.0</v>
      </c>
      <c r="D1269" s="7" t="n">
        <f>HYPERLINK("https://www.somogyi.hu/product/sal-vb-4000-autoradio-es-multimedias-lejatszo-4-x-45-w-4-x-rca-aljzat-bt-fm-rds-mp3-wma-usb-sd-aux-vb-4000-16287","https://www.somogyi.hu/product/sal-vb-4000-autoradio-es-multimedias-lejatszo-4-x-45-w-4-x-rca-aljzat-bt-fm-rds-mp3-wma-usb-sd-aux-vb-4000-16287")</f>
        <v>0.0</v>
      </c>
      <c r="E1269" s="7" t="n">
        <f>HYPERLINK("https://www.somogyi.hu/data/img/product_main_images/small/16287.jpg","https://www.somogyi.hu/data/img/product_main_images/small/16287.jpg")</f>
        <v>0.0</v>
      </c>
      <c r="F1269" s="2" t="inlineStr">
        <is>
          <t>5999084943196</t>
        </is>
      </c>
      <c r="G1269" s="4" t="inlineStr">
        <is>
          <t>Fedezze fel a zene és kommunikáció új dimenzióját az autójában a SAL VB 4000 autórádió és multimédiás lejátszóval! Ez a multifunkcionális készülék nem csupán szórakoztat, hanem lehetővé teszi a zökkenőmentes kommunikációt is, miközben a keze végig a volánon maradhat.
A SAL VB 4000 segítségével vezeték nélküli Bluetooth kapcsolaton keresztül streamelhet zenét közvetlenül a mobiltelefonjáról, irányíthatja annak zenelejátszóját, és telefonálhat anélkül, hogy meg kellene érintenie a készülékét. A beépített és a csíptetős külső mikrofon tiszta hangzást biztosít a telefonbeszélgetések során. A hívások autóhangszórókon keresztüli kihangosítása, a hívószám kijelzése, valamint a híváskezelés funkciók mind-mind hozzájárulnak a biztonságos és kényelmes vezetéshez.
Az autórádió 18 FM memóriahellyel, valamint számos kényelmi funkcióval rendelkezik, mint például kézi és automatikus állomáskeresés, MP3 iD3 Tag szöveges információk megjelenítése, és személyre szabható hangzásbeállítások. A 4 x 45W Hi-Fi hangszórókimenet, 3,5mm-es AUX bemenet és 4 RCA aljzat biztosítja, hogy a zenehallgatás élménye minden igényt kielégítsen.
Az autórádió távirányítóval is vezérelhető, amely még több kényelmet nyújt vezetés közben. Legyen szó hosszú utazásokról, vagy csak a mindennapi ingázásról, a SAL VB 4000 autórádió és multimédiás lejátszó minden utat élvezetessé tesz. Változtassa autóját egy modern szórakoztató központtá a SAL VB 4000-el!</t>
        </is>
      </c>
    </row>
    <row r="1270">
      <c r="A1270" s="3" t="inlineStr">
        <is>
          <t>VBT 1100/RD</t>
        </is>
      </c>
      <c r="B1270" s="2" t="inlineStr">
        <is>
          <t>SAL VBT 1100/RD autórádió, 4 x 45 W, 4 RCA, FM, BT, USB, SD, AUX, piros LED kijelző és gombok</t>
        </is>
      </c>
      <c r="C1270" s="1" t="n">
        <v>10990.0</v>
      </c>
      <c r="D1270" s="7" t="n">
        <f>HYPERLINK("https://www.somogyi.hu/product/sal-vbt-1100-rd-autoradio-4-x-45-w-4-rca-fm-bt-usb-sd-aux-piros-led-kijelzo-es-gombok-vbt-1100-rd-17519","https://www.somogyi.hu/product/sal-vbt-1100-rd-autoradio-4-x-45-w-4-rca-fm-bt-usb-sd-aux-piros-led-kijelzo-es-gombok-vbt-1100-rd-17519")</f>
        <v>0.0</v>
      </c>
      <c r="E1270" s="7" t="n">
        <f>HYPERLINK("https://www.somogyi.hu/data/img/product_main_images/small/17519.jpg","https://www.somogyi.hu/data/img/product_main_images/small/17519.jpg")</f>
        <v>0.0</v>
      </c>
      <c r="F1270" s="2" t="inlineStr">
        <is>
          <t>5999084955410</t>
        </is>
      </c>
      <c r="G1270" s="4" t="inlineStr">
        <is>
          <t>Egy olyan autórádiót keres, amely modern funkcióival és kiemelkedő hangminőségével minden utazást felejthetetlenné varázsol? A SAL VBT 1100/RD autórádió tökéletes választás mindazoknak, akik vezetés közben is élvezni szeretnék kedvenc zenéiket, miközben a készülék funkciói praktikus megoldásokat kínálnak a vezeték nélküli kapcsolódásra, telefonhívásokra és zenehallgatásra. 
A rádió 4 x 45 W teljesítményű hangszórókimenete tiszta és erőteljes hangzást biztosít, így bármilyen műfajban élvezheti a prémium hangminőséget. Ez az autórádió vezeték nélküli Bluetooth kapcsolattal rendelkezik, amely lehetővé teszi, hogy közvetlenül mobiltelefonjáról hallgathasson zenét, és akár a telefon zenelejátszóját is vezérelheti a rádió felületéről. A beépített, érzékeny mikrofon segítségével kéz nélkül fogadhat és bonyolíthat telefonhívásokat, melyek során a csengőhang és a beszélgetés az autó hangszóróin keresztül szólal meg, így a vezetés biztonságosan és kényelmesen folytatható. A hívószám megjelenik a piros LED kijelzőn, és hívás érkezésekor a rádió automatikusan BT módra vált, hogy ne maradjon le egyetlen fontos beszélgetésről sem.
A SAL VBT 1100/RD 18 FM memóriahellyel rendelkezik, így gyorsan hozzáférhet kedvenc rádióállomásaihoz. A készülék USB, SD és AUX bemenetekkel is felszerelt, hogy bármilyen eszközzel könnyen csatlakozhasson, és zenei élményét a saját igényeire szabhassa. Az autórádió számos zenelejátszási funkciót kínál, mint a dalbemutatás, ismétlés, véletlenszerű lejátszás, valamint a könyvtárkezelés és léptetés, így minden alkalommal új színt vihet az utazásokba. A hangzást a magas-mély beállítások, loudness és EQ funkciók segítségével szabhatja testre, hogy mindig az adott zenei stílushoz igazíthassa az élményt. Az USB aljzaton lévő billenő védőfedél megvédi a portokat, így azok hosszú távon is tiszták maradnak. Az autórádióhoz tartozó 4 RCA aljzatnak köszönhetően egyszerűen csatlakoztathat külső erősítőt vagy aktív mélysugárzót, hogy még dinamikusabb hangzást érhessen el. A készülékhez tartozik egy távirányító is, amely lehetővé teszi, hogy a vezérlést a vezetőülésből vagy akár utasok számára is elérhetővé tegye.
Válassza a SAL VBT 1100/RD autórádiót, és élvezze a zenehallgatás, telefonálás és vezeték nélküli csatlakoztatás minden előnyét egy stílusos és funkcionális készüléken!</t>
        </is>
      </c>
    </row>
    <row r="1271">
      <c r="A1271" s="3" t="inlineStr">
        <is>
          <t>VB 2300</t>
        </is>
      </c>
      <c r="B1271" s="2" t="inlineStr">
        <is>
          <t>SAL VB 2300 smart autórádió, 4 x 45 W, 4 RCA, FM, BT, USB, MicroSD, AUX, Android/iOS App</t>
        </is>
      </c>
      <c r="C1271" s="1" t="n">
        <v>11490.0</v>
      </c>
      <c r="D1271" s="7" t="n">
        <f>HYPERLINK("https://www.somogyi.hu/product/sal-vb-2300-smart-autoradio-4-x-45-w-4-rca-fm-bt-usb-microsd-aux-android-ios-app-vb-2300-18060","https://www.somogyi.hu/product/sal-vb-2300-smart-autoradio-4-x-45-w-4-rca-fm-bt-usb-microsd-aux-android-ios-app-vb-2300-18060")</f>
        <v>0.0</v>
      </c>
      <c r="E1271" s="7" t="n">
        <f>HYPERLINK("https://www.somogyi.hu/data/img/product_main_images/small/18060.jpg","https://www.somogyi.hu/data/img/product_main_images/small/18060.jpg")</f>
        <v>0.0</v>
      </c>
      <c r="F1271" s="2" t="inlineStr">
        <is>
          <t>5999084960827</t>
        </is>
      </c>
      <c r="G1271" s="4" t="inlineStr">
        <is>
          <t>Szeretné, ha autórádiója okostelefonjával összhangban működne? A SAL VB 2300 smart autórádió a tökéletes választás!
Ez a rádió telepítendő alkalmazással bővíthető funkciókat kínál, így telefonja a rádió kiterjesztett kijelzőjeként szolgálhat. Azonban okostelefon nélkül is teljes értékű rádiót kap, amely FM, BT, USB, microSD és AUX csatlakozással rendelkezik. Vezeték nélküli Bluetooth kapcsolat révén zenehallgatás és telefonálás is lehetséges anélkül, hogy a telefonját érintenie kellene. A csengőhang és beszélgetés az autó hangszóróin keresztül hallható, a hívószám pedig megjelenik a kijelzőn.
A rádió 18 FM rádiómemóriával rendelkezik, kézi vagy automatikus állomáskereséssel és tárolással. A különböző műsorszám-lejátszási módok, könyvtárkezelés és ID3Tag szöveges információk biztosítják a zenei élményt. Hangszín, loudness és USER EQ hangzásbeállításokkal testre szabhatja a hangzást, és a pontos idő is megjeleníthető egy gombnyomásra. Az USB aljzat töltéshez is használható, a 4 x 45W Hi-Fi hangszórókimenet pedig erőteljes hangzást biztosít.
Könnyedén csatlakoztathatja hordozható készülékeit a 3,5 mm-es AUX bemeneten keresztül, és 4 x RCA aljzattal erősítőt vagy aktív mélysugárzót is csatlakoztathat. A tartozék távirányító (CR2025, 3 V gombelem) egyszerű kezelést tesz lehetővé.
Az alkalmazás Android 4.3 és iOS 8.0 vagy újabb telefonokhoz érhető el, így élvezheti a modern technológia előnyeit autójában is. Szerezze be a SAL VB 2300 smart autórádiót, és élvezze a vezetés minden pillanatát zene és kapcsolódás közben!</t>
        </is>
      </c>
    </row>
    <row r="1272">
      <c r="A1272" s="3" t="inlineStr">
        <is>
          <t>VB X1000</t>
        </is>
      </c>
      <c r="B1272" s="2" t="inlineStr">
        <is>
          <t>SAL VB X1000 autórádió és multimédiás lejátszó, 4 x 45 W, 2 + 1 RCA, CarPlay, Android Auto, USB Mirror Link</t>
        </is>
      </c>
      <c r="C1272" s="1" t="n">
        <v>87990.0</v>
      </c>
      <c r="D1272" s="7" t="n">
        <f>HYPERLINK("https://www.somogyi.hu/product/sal-vb-x1000-autoradio-es-multimedias-lejatszo-4-x-45-w-2-1-rca-carplay-android-auto-usb-mirror-link-vb-x1000-18277","https://www.somogyi.hu/product/sal-vb-x1000-autoradio-es-multimedias-lejatszo-4-x-45-w-2-1-rca-carplay-android-auto-usb-mirror-link-vb-x1000-18277")</f>
        <v>0.0</v>
      </c>
      <c r="E1272" s="7" t="n">
        <f>HYPERLINK("https://www.somogyi.hu/data/img/product_main_images/small/18277.jpg","https://www.somogyi.hu/data/img/product_main_images/small/18277.jpg")</f>
        <v>0.0</v>
      </c>
      <c r="F1272" s="2" t="inlineStr">
        <is>
          <t>5999084962999</t>
        </is>
      </c>
      <c r="G1272" s="4" t="inlineStr">
        <is>
          <t>Egy olyan autórádiót keres, ami minden utazást szórakoztatóbbá tesz? A SAL VB X1000 autórádió és multimédiás lejátszó tökéletes választás, modern funkciókkal és könnyű kezelhetőséggel.
Ez a készülék 9,0”-os (23 cm) mozgatható érintőképernyővel rendelkezik, ami intuitív vezérlést biztosít. A kompakt 1xDIN méretű készülékház ideálisan illeszkedik az autó műszerfalába. Többféle média lejátszását teszi lehetővé: rádió, zene, fotó és videó. A 30 tárhelyes AM/FM RDS rádióval kedvenc állomásai mindig elérhetőek lesznek.
A készülék USB és microSD csatlakozási lehetőségekkel bír, így könnyedén élvezheti digitális tartalmait. A beépített Bluetooth funkciónak köszönhetően telefonhívásait biztonságosan, a mobiltelefon érintése nélkül kezelheti. Az integrált telefonkönyv és híváslista megjelenítés biztosítja, hogy mindig kapcsolatban maradjon.
A biztonságos vezetést a tolatókamera funkció segíti elő. Az USB telefontöltő funkció gondoskodik eszközei állandó töltöttségéről. A beépített és csíptetős külső mikrofon tiszta hangminőséget biztosít.
A hangélmény a 16 sávos grafikus hangszínszabályozóval személyre szabható. A változtatható színű gomb háttérvilágítás és a hátsó monitor lehetősége extra kényelmet biztosít. A kormányról vezérelhető funkciók növelik a biztonságos vezetést.
A 6 nyelvű menü, a 4x45W Hi-Fi hangszórókimenet, a 3,5mm AUX audio bemenet és a több RCA kimenet további rugalmasságot ad. A csomag tartalmaz tolató kamerát, külső mikrofont és ISO csatlakozót.
Fejlessze autója multimédiás képességeit a SAL VB X1000 autórádióval és multimédiás lejátszóval, a modern technológia és a kényelem zökkenőmentes kombinációjával!</t>
        </is>
      </c>
    </row>
    <row r="1273">
      <c r="A1273" s="3" t="inlineStr">
        <is>
          <t>VBT 1100/BL</t>
        </is>
      </c>
      <c r="B1273" s="2" t="inlineStr">
        <is>
          <t>SAL VBT 1100/BL autórádió, 4 x 45 W, 4 RCA, FM, BT, USB, SD, AUX, kék LED kijelző és gombok</t>
        </is>
      </c>
      <c r="C1273" s="1" t="n">
        <v>10990.0</v>
      </c>
      <c r="D1273" s="7" t="n">
        <f>HYPERLINK("https://www.somogyi.hu/product/sal-vbt-1100-bl-autoradio-4-x-45-w-4-rca-fm-bt-usb-sd-aux-kek-led-kijelzo-es-gombok-vbt-1100-bl-17518","https://www.somogyi.hu/product/sal-vbt-1100-bl-autoradio-4-x-45-w-4-rca-fm-bt-usb-sd-aux-kek-led-kijelzo-es-gombok-vbt-1100-bl-17518")</f>
        <v>0.0</v>
      </c>
      <c r="E1273" s="7" t="n">
        <f>HYPERLINK("https://www.somogyi.hu/data/img/product_main_images/small/17518.jpg","https://www.somogyi.hu/data/img/product_main_images/small/17518.jpg")</f>
        <v>0.0</v>
      </c>
      <c r="F1273" s="2" t="inlineStr">
        <is>
          <t>5999084955403</t>
        </is>
      </c>
      <c r="G1273" s="4" t="inlineStr">
        <is>
          <t>Egy olyan autórádiót keres, amely modern funkcióival és kiemelkedő hangminőségével minden utazást felejthetetlenné varázsol? A SAL VBT 1100/BL autórádió tökéletes választás mindazoknak, akik vezetés közben is élvezni szeretnék kedvenc zenéiket, miközben a készülék funkciói praktikus megoldásokat kínálnak a vezeték nélküli kapcsolódásra, telefonhívásokra és zenehallgatásra. 
A rádió 4 x 45 W teljesítményű hangszórókimenete tiszta és erőteljes hangzást biztosít, így bármilyen műfajban élvezheti a prémium hangminőséget. Ez az autórádió vezeték nélküli Bluetooth kapcsolattal rendelkezik, amely lehetővé teszi, hogy közvetlenül mobiltelefonjáról hallgathasson zenét, és akár a telefon zenelejátszóját is vezérelheti a rádió felületéről. A beépített, érzékeny mikrofon segítségével kéz nélkül fogadhat és bonyolíthat telefonhívásokat, melyek során a csengőhang és a beszélgetés az autó hangszóróin keresztül szólal meg, így a vezetés biztonságosan és kényelmesen folytatható. A hívószám megjelenik a kék LED kijelzőn, és hívás érkezésekor a rádió automatikusan BT módra vált, hogy ne maradjon le egyetlen fontos beszélgetésről sem.
A SAL VBT 1100/BL 18 FM memóriahellyel rendelkezik, így gyorsan hozzáférhet kedvenc rádióállomásaihoz. A készülék USB, SD és AUX bemenetekkel is felszerelt, hogy bármilyen eszközzel könnyen csatlakozhasson, és zenei élményét a saját igényeire szabhassa. Az autórádió számos zenelejátszási funkciót kínál, mint a dalbemutatás, ismétlés, véletlenszerű lejátszás, valamint a könyvtárkezelés és léptetés, így minden alkalommal új színt vihet az utazásokba. A hangzást a magas-mély beállítások, loudness és EQ funkciók segítségével szabhatja testre, hogy mindig az adott zenei stílushoz igazíthassa az élményt. Az USB aljzaton lévő billenő védőfedél megvédi a portokat, így azok hosszú távon is tiszták maradnak. Az autórádióhoz tartozó 4 RCA aljzatnak köszönhetően egyszerűen csatlakoztathat külső erősítőt vagy aktív mélysugárzót, hogy még dinamikusabb hangzást érhessen el. A készülékhez tartozik egy távirányító is, amely lehetővé teszi, hogy a vezérlést a vezetőülésből vagy akár utasok számára is elérhetővé tegye.
Válassza a SAL VBT 1100/BL autórádiót, és élvezze a zenehallgatás, telefonálás és vezeték nélküli csatlakoztatás minden előnyét egy stílusos és funkcionális készüléken!</t>
        </is>
      </c>
    </row>
    <row r="1274">
      <c r="A1274" s="3" t="inlineStr">
        <is>
          <t>VBX910</t>
        </is>
      </c>
      <c r="B1274" s="2" t="inlineStr">
        <is>
          <t>SAL VBX910 autórádió és multimédiás lejátszó, CPAA multimédia, iOS CarPlay és Android Auto, tükrözés, 18cm-es érintő-kijelző, 2xDIN, Bluetooth</t>
        </is>
      </c>
      <c r="C1274" s="1" t="n">
        <v>44690.0</v>
      </c>
      <c r="D1274" s="7" t="n">
        <f>HYPERLINK("https://www.somogyi.hu/product/sal-vbx910-autoradio-es-multimedias-lejatszo-cpaa-multimedia-ios-carplay-es-android-auto-tukrozes-18cm-es-erinto-kijelzo-2xdin-bluetooth-vbx910-18162","https://www.somogyi.hu/product/sal-vbx910-autoradio-es-multimedias-lejatszo-cpaa-multimedia-ios-carplay-es-android-auto-tukrozes-18cm-es-erinto-kijelzo-2xdin-bluetooth-vbx910-18162")</f>
        <v>0.0</v>
      </c>
      <c r="E1274" s="7" t="n">
        <f>HYPERLINK("https://www.somogyi.hu/data/img/product_main_images/small/18162.jpg","https://www.somogyi.hu/data/img/product_main_images/small/18162.jpg")</f>
        <v>0.0</v>
      </c>
      <c r="F1274" s="2" t="inlineStr">
        <is>
          <t>5999084961848</t>
        </is>
      </c>
      <c r="G1274" s="4" t="inlineStr">
        <is>
          <t>Hogyan teheti élvezetesebbé az autózást egy modern multimédiás rendszer?
A SAL VBX910 autórádió és multimédiás lejátszó tökéletes választás azok számára, akik vezetés közben is szeretnének kiváló minőségű zenehallgatást, telefonhívásokat és multimédiás funkciókat élvezni. Az iOS CarPlay és Android Auto kompatibilitásnak köszönhetően könnyedén csatlakoztatható okostelefonjához, így biztonságosan és kényelmesen használhatja navigációt, zenelejátszást és egyéb funkciókat anélkül, hogy a telefonját kézbe kellene vennie.
Lenyűgöző multimédiás élmény és egyszerű kezelhetőség
A 7 colos (18 cm-es) érintőképernyős kijelző kristálytiszta képet biztosít, amelyen könnyedén navigálhat a különböző funkciók között. A képernyőtükrözés funkcióval iOS és Android készülékek tartalmát közvetlenül az autórádió kijelzőjén láthatja, így akár a telefon navigációs rendszerét is használhatja. A 10 sávos grafikus hangszínszabályozó lehetővé teszi a hangélmény személyre szabását, miközben a változatható színű gomb háttérvilágítás stílusos megjelenést biztosít.
Széleskörű csatlakozási lehetőségek és modern technológia
A SAL VBX910 számos bemeneti és kimeneti opcióval rendelkezik, amelyek lehetővé teszik különböző eszközök csatlakoztatását. A készülék támogatja az USB és microSD eszközök csatlakoztatását, valamint rendelkezik rádió/zene/fotó/video lejátszási lehetőséggel. Az AM/FM RDS rádió 30 tárhelyes memóriával rendelkezik, így kedvenc rádióállomásait egy gombnyomással elérheti. A Bluetooth kapcsolat segítségével vezeték nélkül párosíthatja okostelefonját, és a beépített vagy külső mikrofon segítségével biztonságosan telefonálhat.
Maximális kényelem és vezetésbiztonság
A könnyen elsötétíthető kijelző ideális éjszakai vezetéshez, csökkentve a zavaró fényeket. Az USB telefontöltő funkció folyamatos áramellátást biztosít mobileszközei számára. A készülék tolatókamera bemenettel is rendelkezik (opcionálisan SA 143 kamerával bővíthető), így növeli a parkolás biztonságát. Emellett gyári kormány-távirányítóval is vezérelhető, így még kényelmesebb és biztonságosabb a használata.
Miért válassza a SAL VBX910 autórádiót?
- iOS CarPlay és Android Auto támogatás – könnyed okostelefon-csatlakoztatás és kényelmes vezérlés
- 7 colos érintőképernyő és képernyőtükrözés funkció – lenyűgöző vizuális élmény és egyszerű navigáció
- Bluetooth kihangosítás és vezeték nélküli zenelejátszás – biztonságos és kényelmes kommunikáció vezetés közben
- Tolatókamera bemenet és több csatlakozási lehetőség – extra funkciók a maximális kényelem érdekében
- 10 sávos hangszínszabályozó és kiváló Hi-Fi hangzás – személyre szabható zenei élmény
Tapasztalja meg a vezetés új dimenzióját a SAL VBX910 multimédiás autórádióval! Élvezze a modern technológiát és a tökéletes zenei élményt minden egyes úton!</t>
        </is>
      </c>
    </row>
    <row r="1275">
      <c r="A1275" s="6" t="inlineStr">
        <is>
          <t xml:space="preserve">   Hangtechnika / Autós erősítő</t>
        </is>
      </c>
      <c r="B1275" s="6" t="inlineStr">
        <is>
          <t/>
        </is>
      </c>
      <c r="C1275" s="6" t="inlineStr">
        <is>
          <t/>
        </is>
      </c>
      <c r="D1275" s="6" t="inlineStr">
        <is>
          <t/>
        </is>
      </c>
      <c r="E1275" s="6" t="inlineStr">
        <is>
          <t/>
        </is>
      </c>
      <c r="F1275" s="6" t="inlineStr">
        <is>
          <t/>
        </is>
      </c>
      <c r="G1275" s="6" t="inlineStr">
        <is>
          <t/>
        </is>
      </c>
    </row>
    <row r="1276">
      <c r="A1276" s="3" t="inlineStr">
        <is>
          <t>SBF 2025</t>
        </is>
      </c>
      <c r="B1276" s="2" t="inlineStr">
        <is>
          <t>Univerzális autós erősítő, 2 csat., 4ohm, 50W</t>
        </is>
      </c>
      <c r="C1276" s="1" t="n">
        <v>12190.0</v>
      </c>
      <c r="D1276" s="7" t="n">
        <f>HYPERLINK("https://www.somogyi.hu/product/univerzalis-autos-erosito-2-csat-4ohm-50w-sbf-2025-4741","https://www.somogyi.hu/product/univerzalis-autos-erosito-2-csat-4ohm-50w-sbf-2025-4741")</f>
        <v>0.0</v>
      </c>
      <c r="E1276" s="7" t="n">
        <f>HYPERLINK("https://www.somogyi.hu/data/img/product_main_images/small/04741.jpg","https://www.somogyi.hu/data/img/product_main_images/small/04741.jpg")</f>
        <v>0.0</v>
      </c>
      <c r="F1276" s="2" t="inlineStr">
        <is>
          <t>5998312741856</t>
        </is>
      </c>
      <c r="G1276" s="4" t="inlineStr">
        <is>
          <t>Mindene a zenehallgatás? Ne feledkezzen meg arról, hogy vezetés közben is a legjobb minőségben hallgassa kedvenc slágereit!
Az SBF 2025 egy univerzális autós erősítő 3 féle hangváltó üzemmóddal: mély, mélyközép + magas és szélessávú hangszórókhoz, továbbá hangerő szabályozóval és integrált áramkörös végerősítővel. A készülék magas és alacsony szintű vonalbemenet, visszajelző LED, aranyozott csatlakozóaljzatokkal rendelkezik. A tartozéka háromféle csatlakozókábel. Felhasználhatósága: 50 W (2 x 25 W) 2 x 4 Ohm. Válassza a minőségi termékeket és rendeljen webáruházunkból.</t>
        </is>
      </c>
    </row>
    <row r="1277">
      <c r="A1277" s="6" t="inlineStr">
        <is>
          <t xml:space="preserve">   Hangtechnika / FM modulátor, Vezeték nélküli BT kapcsolat</t>
        </is>
      </c>
      <c r="B1277" s="6" t="inlineStr">
        <is>
          <t/>
        </is>
      </c>
      <c r="C1277" s="6" t="inlineStr">
        <is>
          <t/>
        </is>
      </c>
      <c r="D1277" s="6" t="inlineStr">
        <is>
          <t/>
        </is>
      </c>
      <c r="E1277" s="6" t="inlineStr">
        <is>
          <t/>
        </is>
      </c>
      <c r="F1277" s="6" t="inlineStr">
        <is>
          <t/>
        </is>
      </c>
      <c r="G1277" s="6" t="inlineStr">
        <is>
          <t/>
        </is>
      </c>
    </row>
    <row r="1278">
      <c r="A1278" s="3" t="inlineStr">
        <is>
          <t>FMBT 1000</t>
        </is>
      </c>
      <c r="B1278" s="2" t="inlineStr">
        <is>
          <t>SAL FMBT 1000 BT fülhallgató autós töltővel, FM transmitter, QC USB gyorstöltő, Bluetooth, beépített mikrofon</t>
        </is>
      </c>
      <c r="C1278" s="1" t="n">
        <v>9190.0</v>
      </c>
      <c r="D1278" s="7" t="n">
        <f>HYPERLINK("https://www.somogyi.hu/product/sal-fmbt-1000-bt-fulhallgato-autos-toltovel-fm-transmitter-qc-usb-gyorstolto-bluetooth-beepitett-mikrofon-fmbt-1000-17238","https://www.somogyi.hu/product/sal-fmbt-1000-bt-fulhallgato-autos-toltovel-fm-transmitter-qc-usb-gyorstolto-bluetooth-beepitett-mikrofon-fmbt-1000-17238")</f>
        <v>0.0</v>
      </c>
      <c r="E1278" s="7" t="n">
        <f>HYPERLINK("https://www.somogyi.hu/data/img/product_main_images/small/17238.jpg","https://www.somogyi.hu/data/img/product_main_images/small/17238.jpg")</f>
        <v>0.0</v>
      </c>
      <c r="F1278" s="2" t="inlineStr">
        <is>
          <t>5999084952624</t>
        </is>
      </c>
      <c r="G1278" s="4" t="inlineStr">
        <is>
          <t>Egy olyan autós kiegészítőt keres, amely nemcsak kiváló zenehallgatási és híváskezelési lehetőségeket biztosít, de egyben praktikus és gyors töltési megoldás is? A SAL FMBT 1000 BT fülhallgató autós töltővel, FM transmitterrel és QC gyorstöltővel pontosan ezt nyújtja! 
Ez az innovatív, 5in1 multifunkciós készülék headsetként, gyorstöltőként, FM modulátorként és akkumulátor feszültségmérőként is működik, így ideális kiegészítő minden autós számára, aki értékeli a kényelmet és a modern technológiai megoldásokat. A SAL FMBT 1000 fülhallgató könnyedén csatlakoztatható az autórádióhoz Bluetooth-on keresztül, így zenét hallgathat vagy hívásokat fogadhat közvetlenül az autó hangszóróin, illetve a fülhallgatón keresztül, amely bármelyik fülben kényelmesen viselhető. A beépített mikrofon garantálja a tiszta hívásminőséget, így telefonálás közben sem kell megérintenie a telefonját. Az automatikus töltés a mágneses dokkolóban történik, így a fülhallgató mindig készen áll a használatra, amikor szüksége van rá. 
Az automatikus újracsatlakozási funkcióval a készülék azonnal újra csatlakozik a párosított telefonhoz. A készülék további előnyei közé tartozik a QC3.0 USB gyorstöltő, amely akár 3,0 A áramot is biztosít, valamint az USB-C gyorstöltő, amellyel az okostelefonja vagy bármely más kompatibilis eszköze gyorsan feltölthető, még rövid autózás alatt is. Emellett a fülhallgató töltési ideje mindössze 1 óra, ami körülbelül 4 órás működési időt biztosít. Az FM modulátorral pedig közvetlenül az autórádióján keresztül is hallgathat zenét vagy kezelheti a lejátszási listákat, míg a hívószám hangbemondása angolul elérhető, így mindig tudja, ki keres.
A SAL FMBT 1000 egyaránt használható 12 V-os és 24 V-os járművekben, így személygépkocsikban és teherautókban is kényelmesen alkalmazható. A jármű akkumulátorának feszültségmérő funkciója lehetőséget nyújt az akkumulátor állapotának ellenőrzésére, így minden fontos adat a rendelkezésére áll az utazás alatt.
Válassza a SAL FMBT 1000 BT fülhallgatót autós töltővel és FM transmitterrel, hogy élvezhesse az összes modern funkció előnyét útközben is – a maximális kényelem és praktikum jegyében!</t>
        </is>
      </c>
    </row>
    <row r="1279">
      <c r="A1279" s="3" t="inlineStr">
        <is>
          <t>FMBT HIFI</t>
        </is>
      </c>
      <c r="B1279" s="2" t="inlineStr">
        <is>
          <t>SAL FMBT HIFI autós kihangosító és töltő, dupla USB töltő, QC3.0, feszültségmérő, MicroSD, AUX, D/A és földhurok zajszűrő</t>
        </is>
      </c>
      <c r="C1279" s="1" t="n">
        <v>13390.0</v>
      </c>
      <c r="D1279" s="7" t="n">
        <f>HYPERLINK("https://www.somogyi.hu/product/sal-fmbt-hifi-autos-kihangosito-es-tolto-dupla-usb-tolto-qc3-0-feszultsegmero-microsd-aux-d-a-es-foldhurok-zajszuro-fmbt-hifi-17750","https://www.somogyi.hu/product/sal-fmbt-hifi-autos-kihangosito-es-tolto-dupla-usb-tolto-qc3-0-feszultsegmero-microsd-aux-d-a-es-foldhurok-zajszuro-fmbt-hifi-17750")</f>
        <v>0.0</v>
      </c>
      <c r="E1279" s="7" t="n">
        <f>HYPERLINK("https://www.somogyi.hu/data/img/product_main_images/small/17750.jpg","https://www.somogyi.hu/data/img/product_main_images/small/17750.jpg")</f>
        <v>0.0</v>
      </c>
      <c r="F1279" s="2" t="inlineStr">
        <is>
          <t>5999084957728</t>
        </is>
      </c>
      <c r="G1279" s="4" t="inlineStr">
        <is>
          <t>Szeretne egy olyan multifunkcionális autós kiegészítőt, amely egyesíti a kihangosítót, a töltőt, az FM modulátort, a zenelejátszót és az autós feszültségmérőt? A SAL FMBT HIFI autós kihangosító és töltő tökéletes választás, ha egyetlen kompakt eszközzel kívánja megoldani autós szórakoztatását és kommunikációját. 
Ez a prémium 5 az 1-ben autós tartozék nagy, 1,8 colos színes kijelzővel rendelkezik, amelyen 19-sávos spektrum-analizátor mutatja a lejátszott zene minőségét, így valódi Hi-Fi hangzást biztosít. A SAL FMBT HIFI kiváló minőségű D/A átalakítóval és zajszűrővel rendelkezik, amely még zajosabb környezetben is tiszta hangzást garantál. Az eszköz földhurok-zajszűrője megakadályozza a nem kívánt háttérzajokat, így minden telefonbeszélgetés és zenei élmény zavartalanul élvezhető. A készülék 7 különböző EQ-móddal és hangszínszabályozással is rendelkezik, így személyre szabhatja a magas és mély hangokat, hogy a zenei élmény mindig az adott pillanathoz illeszkedjen. A SAL FMBT HIFI lehetővé teszi, hogy telefonhívásokat kezeljen az autó hangszóróin keresztül anélkül, hogy meg kellene érintenie a telefonját. A hívószám (angol) bemondásával és kijelzésével kényelmesen és biztonságosan fogadhat, elutasíthat, vagy indíthat hívásokat. 
A készülék beépített MicroSD és 3,5 mm-es LINE OUT aljzattal rendelkezik, így sokféle forrásból játszhat le zenét. Továbbá, a dupla USB gyorstöltő (QC3.0 és 5 V / 1,0 A, összesen 23 W teljesítményű) biztosítja, hogy telefonja vagy bármely más eszköze gyorsan feltöltődjön út közben. Az autós voltmérő funkció segítségével ellenőrizheti autóakkumulátorának állapotát, így megelőzheti az esetleges lemerülést. Az eszköz 12 és 24 V-os járművekben egyaránt használható, ami rugalmassá teszi különböző járműtípusok esetén is. A könnyen áttekinthető, többnyelvű menü (angol, magyar, cseh, román) révén az eszköz kezelése egyszerű, így minden utazás biztonságosabbá és szórakoztatóbbá válik.
Válassza a SAL FMBT HIFI autós kihangosítót és töltőt, hogy autójában élvezhesse a csúcsminőségű zenehallgatást, kényelmes telefonhívás-kezelést, és gyors eszköztöltést, mindezt egyetlen, stílusos eszközzel!</t>
        </is>
      </c>
    </row>
    <row r="1280">
      <c r="A1280" s="3" t="inlineStr">
        <is>
          <t>BTRC 100</t>
        </is>
      </c>
      <c r="B1280" s="2" t="inlineStr">
        <is>
          <t>SAL BTRC 100 vezeték nélküli BT adó/vevő, Bluetooth, beépített akkumulátor, microUSB aljzat</t>
        </is>
      </c>
      <c r="C1280" s="1" t="n">
        <v>10690.0</v>
      </c>
      <c r="D1280" s="7" t="n">
        <f>HYPERLINK("https://www.somogyi.hu/product/sal-btrc-100-vezetek-nelkuli-bt-ado-vevo-bluetooth-beepitett-akkumulator-microusb-aljzat-btrc-100-15490","https://www.somogyi.hu/product/sal-btrc-100-vezetek-nelkuli-bt-ado-vevo-bluetooth-beepitett-akkumulator-microusb-aljzat-btrc-100-15490")</f>
        <v>0.0</v>
      </c>
      <c r="E1280" s="7" t="n">
        <f>HYPERLINK("https://www.somogyi.hu/data/img/product_main_images/small/15490.jpg","https://www.somogyi.hu/data/img/product_main_images/small/15490.jpg")</f>
        <v>0.0</v>
      </c>
      <c r="F1280" s="2" t="inlineStr">
        <is>
          <t>5999084935245</t>
        </is>
      </c>
      <c r="G1280" s="4" t="inlineStr">
        <is>
          <t>Szeretné, ha eszközei egyszerre tudnának vezeték nélküli és vezetékes kapcsolatot biztosítani, akár zenét játszik le, akár hangot továbbít? A SAL BTRC 100 vezeték nélküli Bluetooth adó/vevő pontosan ezt a rugalmas felhasználást kínálja! 
Ezzel az innovatív eszközzel egyszerűen átkapcsolhat adó és vevő mód között, így bármely zenelejátszóját, TV-jét vagy HiFi készülékét pillanatok alatt vezeték nélkülivé teheti, vagy éppen vezeték nélkül csatlakoztathatja Bluetooth fejhallgatójához, autórádiójához és még sok máshoz. A SAL BTRC 100 egyik legnagyobb előnye, hogy automatikusan üzemmódot vált, amikor csatlakoztatja a kábelt, így Önnek ezzel nem kell külön foglalkoznia. Két 3,5 mm-es jack aljzattal rendelkezik audio bemenetként és kimenetként, amely kiváló minőségű hangzást biztosít zajszűréssel és visszhang-elnyomással, így minden zenei részlet tökéletesen átadódik. Az automatikus újracsatlakozási funkció révén az eszköz gyorsan és egyszerűen kapcsolódik a korábban párosított készülékekhez, és az automatikus kikapcsolás energiatakarékosságot biztosít.
Beépített akkumulátora microUSB töltő aljzaton keresztül tölthető, és tartozékként egy USB-microUSB töltőkábelt is talál a csomagban. Az adapter mellé egy 3,5 mm-3,5 mm-es jack kábel és egy 3,5 mm-2xRCA kábel is jár, így különféle eszközökkel használhatja – legyen szó akár TV-ről, számítógépről, fejhallgatóról, erősítőről vagy HiFi rendszerről. A Bluetooth v4.1-es vevő és v2.1-es adó technológia maximális 10 méteres hatótávolságot biztosít, így rugalmas mozgásteret kínál használata közben. A SAL BTRC 100 vezeték nélküli Bluetooth adó/vevő egyszerre csak egy üzemmódban működik, de az üzemmódváltás automatikusan történik a 3,5 mm-es jack kábel csatlakoztatásával.
Válassza a SAL BTRC 100-at, hogy élvezhesse a vezeték nélküli technológia szabadságát és a magas színvonalú hangzást minden eszközén!</t>
        </is>
      </c>
    </row>
    <row r="1281">
      <c r="A1281" s="3" t="inlineStr">
        <is>
          <t>BTRC 30</t>
        </is>
      </c>
      <c r="B1281" s="2" t="inlineStr">
        <is>
          <t>SAL BTRC 30 vezeték nélküli BT adapter, adó és vevő, AUX I/O</t>
        </is>
      </c>
      <c r="C1281" s="1" t="n">
        <v>3490.0</v>
      </c>
      <c r="D1281" s="7" t="n">
        <f>HYPERLINK("https://www.somogyi.hu/product/sal-btrc-30-vezetek-nelkuli-bt-adapter-ado-es-vevo-aux-i-o-btrc-30-17095","https://www.somogyi.hu/product/sal-btrc-30-vezetek-nelkuli-bt-adapter-ado-es-vevo-aux-i-o-btrc-30-17095")</f>
        <v>0.0</v>
      </c>
      <c r="E1281" s="7" t="n">
        <f>HYPERLINK("https://www.somogyi.hu/data/img/product_main_images/small/17095.jpg","https://www.somogyi.hu/data/img/product_main_images/small/17095.jpg")</f>
        <v>0.0</v>
      </c>
      <c r="F1281" s="2" t="inlineStr">
        <is>
          <t>5999084951276</t>
        </is>
      </c>
      <c r="G1281" s="4" t="inlineStr">
        <is>
          <t>Szeretné eszközeit vezeték nélküli hangátviteli funkcióval bővíteni, hogy kényelmesen hallgathassa kedvenc zenéit vagy TV-műsorait? A SAL BTRC 30 vezeték nélküli Bluetooth adapter ezt a rugalmasságot biztosítja Önnek. 
Ez az adapter könnyedén átkapcsolható BT vevő és adó üzemmód között, így sokoldalúan használható, legyen szó zenelejátszásról vagy más média továbbításáról különböző eszközök között. A SAL BTRC 30 adapter a legmodernebb Bluetooth 5.0 technológiával van felszerelve, amely stabil és gyors kapcsolatot biztosít akár 10 méteres hatótávolságon belül. Az adapter 3,5 mm-es audio bemeneti és kimeneti aljzattal rendelkezik, így könnyedén csatlakoztatható különböző típusú eszközökhöz. A tartozék 3,5 mm-es audio kábel (kb. 1,0 m hosszú) segítségével egyszerűen integrálhatja eszközeit az adapterhez.
Az eszköz USB 5V tápellátást igényel, ami könnyen elérhető egy számítógép, adapter vagy egy hordozható akkumulátor segítségével. Használati lehetőségei sokoldalúak: BT adóként használható TV-hez, számítógéphez, multimédia lejátszóhoz vagy HiFi berendezéshez, így ezekről az eszközökről vezeték nélkül továbbíthatja a hangot. BT vevő üzemmódban az adapter autórádiókhoz, fejhallgatókhoz, erősítőkhöz és aktív hangdobozokhoz csatlakoztatható, lehetővé téve a vezeték nélküli zenelejátszást és hangátvitelt. A SAL BTRC 30 adapter automatikus újracsatlakozási funkcióval rendelkezik, ami megkönnyíti a használatot, hiszen a korábban párosított eszközökkel automatikusan újra kapcsolódik, amikor azok hatótávolságba kerülnek. Ezáltal időt takaríthat meg, és élvezheti a megszakítás nélküli zenei élményt.
Válassza a SAL BTRC 30 vezeték nélküli Bluetooth adaptert, hogy eszközei vezeték nélküli szabadságot kapjanak, és minden helyzetben a legjobb zenei élményt biztosítsák Önnek!</t>
        </is>
      </c>
    </row>
    <row r="1282">
      <c r="A1282" s="3" t="inlineStr">
        <is>
          <t>FMBT MIC</t>
        </is>
      </c>
      <c r="B1282" s="2" t="inlineStr">
        <is>
          <t>SAL FMBT MIC autós kihangosító és töltő, beépített vezetékes mikrofon, feszültségmérő, Siri, Google Assistant, dupla USB gyorstöltő</t>
        </is>
      </c>
      <c r="C1282" s="1" t="n">
        <v>11790.0</v>
      </c>
      <c r="D1282" s="7" t="n">
        <f>HYPERLINK("https://www.somogyi.hu/product/sal-fmbt-mic-autos-kihangosito-es-tolto-beepitett-vezetekes-mikrofon-feszultsegmero-siri-google-assistant-dupla-usb-gyorstolto-fmbt-mic-17281","https://www.somogyi.hu/product/sal-fmbt-mic-autos-kihangosito-es-tolto-beepitett-vezetekes-mikrofon-feszultsegmero-siri-google-assistant-dupla-usb-gyorstolto-fmbt-mic-17281")</f>
        <v>0.0</v>
      </c>
      <c r="E1282" s="7" t="n">
        <f>HYPERLINK("https://www.somogyi.hu/data/img/product_main_images/small/17281.jpg","https://www.somogyi.hu/data/img/product_main_images/small/17281.jpg")</f>
        <v>0.0</v>
      </c>
      <c r="F1282" s="2" t="inlineStr">
        <is>
          <t>5999084953034</t>
        </is>
      </c>
      <c r="G1282" s="4" t="inlineStr">
        <is>
          <t>Szeretné vezetés közben kényelmesen és biztonságosan kezelni telefonhívásait, miközben eszközeit is gyorsan feltölti? A SAL FMBT MIC autós kihangosító és töltő minden igényét kielégíti! Ez az 5 az 1-ben multifunkciós eszköz Bluetooth kihangosítóként, FM modulátorként, dupla USB gyorstöltőként, zenelejátszóként és akkumulátor voltmérőként is használható, így mindent egy helyen biztosít a zavartalan utazáshoz.
A SAL FMBT MIC különlegessége a műszerfalra helyezhető, professzionális minőségű mikrofon, amely ~60 cm hosszúságú, gabalyodásmentes vezetékkel és kontroll gombbal van ellátva. Ez lehetővé teszi, hogy tiszta, torzításmentes hangot biztosítson hívásai során, így minden beszélgetés kényelmesen zajlik, anélkül, hogy meg kellene érintenie telefonját. Az eszköz támogatja a hívások fogadását, elutasítását és hívószám tárcsázását, miközben az angol nyelvű hívószám hangbemondás kényelmesen figyelmezteti a bejövő hívásokra. Emellett az eszközről vezérelhető a zenelejátszás, beleértve a műsorszámok léptetését, hogy vezetés közben is egyszerűen kezelhesse zenei élményét.
Ez a készülék támogatja a legnépszerűbb hangasszisztenseket, mint Siri és Google Assistant, így hangutasításokkal is könnyedén vezérelheti az eszközt. Kiváló zenelejátszási lehetőségeket kínál Bluetooth, USB és FM modulátor funkcióval, így bármilyen eszközzel kényelmesen csatlakozhat. A dupla USB gyorstöltő funkció (2,4A + 1,0A) biztosítja, hogy készülékei mindig teljesen feltöltött állapotban legyenek, akár hosszabb utazások során is. Emellett az eszköz voltmérő funkciója lehetővé teszi, hogy autóakkumulátorának állapotát folyamatosan figyelemmel kísérhesse, így elkerülheti az esetleges kellemetlenségeket.
Ez az univerzális eszköz 12V és 24V-os járművekben egyaránt használható, így szinte bármely autótípushoz illeszkedik. Kiváló minőségű anyagokból készült, és professzionális kialakítása biztosítja, hogy a készülék hosszú távon megbízható társa legyen.
Válassza a SAL FMBT MIC autós kihangosítót és töltőt, hogy minden utazás kényelmes, biztonságos és szórakoztató legyen!</t>
        </is>
      </c>
    </row>
    <row r="1283">
      <c r="A1283" s="3" t="inlineStr">
        <is>
          <t>BTRC 1000</t>
        </is>
      </c>
      <c r="B1283" s="2" t="inlineStr">
        <is>
          <t>SAL BTRC 1000 sztereó streaming box, ByPass, digitális-analóg átalakító, 2 BT eszköz, USB-C, Toshlink</t>
        </is>
      </c>
      <c r="C1283" s="1" t="n">
        <v>16590.0</v>
      </c>
      <c r="D1283" s="7" t="n">
        <f>HYPERLINK("https://www.somogyi.hu/product/sal-btrc-1000-sztereo-streaming-box-bypass-digitalis-analog-atalakito-2-bt-eszkoz-usb-c-toshlink-btrc-1000-18188","https://www.somogyi.hu/product/sal-btrc-1000-sztereo-streaming-box-bypass-digitalis-analog-atalakito-2-bt-eszkoz-usb-c-toshlink-btrc-1000-18188")</f>
        <v>0.0</v>
      </c>
      <c r="E1283" s="7" t="n">
        <f>HYPERLINK("https://www.somogyi.hu/data/img/product_main_images/small/18188.jpg","https://www.somogyi.hu/data/img/product_main_images/small/18188.jpg")</f>
        <v>0.0</v>
      </c>
      <c r="F1283" s="2" t="inlineStr">
        <is>
          <t>5999084962104</t>
        </is>
      </c>
      <c r="G1283" s="4" t="inlineStr">
        <is>
          <t>Elgondolkodott már azon, hogyan modernizálhatná régi zenei rendszerét anélkül, hogy új készülékeket vásárolna? A SAL BTRC 1000 sztereó streaming box segítségével mostantól könnyedén csatlakoztathatja Bluetooth eszközeit bármilyen régi HiFi rendszerhez, és élvezheti a vezeték nélküli zenehallgatás szabadságát.
Ez a sokoldalú eszköz nemcsak Bluetooth vevőként, hanem Bluetooth adóként is funkcionál, így bármilyen régi készüléket modernizálhat. Akár zenét küld vezeték nélküli fejhallgatóra, akár régi sztereó rendszerére érkezik a hang, a SAL BTRC 1000 biztosítja a zökkenőmentes kapcsolódást. Az átmenő (ByPass) funkció lehetővé teszi, hogy az eszköz vezetékes rendszereken is működjön, anélkül hogy megszakítaná az átvitelt, így bármikor válthat vezetékes és vezeték nélküli kapcsolatok között.
A streaming box beépített digitális-analóg és analóg-digitális audio átalakítókkal is rendelkezik, amelyek biztosítják a maximális kompatibilitást bármilyen hangrendszerrel. Ezáltal bármilyen régebbi készülék könnyedén csatlakoztatható újabb, modern rendszerekhez, garantálva a kiváló hangminőséget. Az eszköz különlegessége, hogy egyszerre két Bluetooth eszközt is képes kezelni, így párhuzamosan csatlakoztathat például fejhallgatót és egy másik hangszórót is. A 1,8 colos kijelző lehetővé teszi a könnyű navigálást és párosítást, így többé nem kell vakon próbálkoznia a csatlakozással.
A SAL BTRC 1000 audio bemenetei és kimenetei a legkülönfélébb kapcsolódási lehetőségeket kínálják: 3,5 mm-es jackés Toshlink optikai csatlakozókat használhat, így szinte bármilyen audioeszközzel kompatibilis. A USB-C tápellátásbiztosítja a gyors és hatékony töltést, a csomag tartozékai között pedig megtalálható az USB-C kábel, a 3,5 mm-es jack kábel és egy optikai csatlakozókábel is, így minden szükséges eszközt megkap, hogy azonnal használatba vehesse a készüléket.
Ne hagyja, hogy régi rendszere elavulttá váljon! A SAL BTRC 1000 sztereó streaming box segítségével új életet lehelhet régi HiFi rendszerébe, és élvezheti a modern vezeték nélküli zenehallgatás élményét.</t>
        </is>
      </c>
    </row>
    <row r="1284">
      <c r="A1284" s="3" t="inlineStr">
        <is>
          <t>FMBT 18RGB</t>
        </is>
      </c>
      <c r="B1284" s="2" t="inlineStr">
        <is>
          <t>SAL FMBT 18RGB autós kihangosító és töltő, 5 in 1, FM modulátor, dupla USB gyorstöltő, feszültségmérő, basszus-kiemelés gomb</t>
        </is>
      </c>
      <c r="C1284" s="1" t="n">
        <v>11590.0</v>
      </c>
      <c r="D1284" s="7" t="n">
        <f>HYPERLINK("https://www.somogyi.hu/product/sal-fmbt-18rgb-autos-kihangosito-es-tolto-5-in-1-fm-modulator-dupla-usb-gyorstolto-feszultsegmero-basszus-kiemeles-gomb-fmbt-18rgb-18106","https://www.somogyi.hu/product/sal-fmbt-18rgb-autos-kihangosito-es-tolto-5-in-1-fm-modulator-dupla-usb-gyorstolto-feszultsegmero-basszus-kiemeles-gomb-fmbt-18rgb-18106")</f>
        <v>0.0</v>
      </c>
      <c r="E1284" s="7" t="n">
        <f>HYPERLINK("https://www.somogyi.hu/data/img/product_main_images/small/18106.jpg","https://www.somogyi.hu/data/img/product_main_images/small/18106.jpg")</f>
        <v>0.0</v>
      </c>
      <c r="F1284" s="2" t="inlineStr">
        <is>
          <t>5999084961282</t>
        </is>
      </c>
      <c r="G1284" s="4" t="inlineStr">
        <is>
          <t>Egy olyan autós eszközt keres, amely tökéletesen ötvözi a zenelejátszást, a kihangosítást és az eszköztöltést, miközben stílusos megjelenést biztosít autójában? A SAL FMBT 18RGB autós kihangosító és töltő egy 5 az 1-ben megoldás, amely Bluetooth kihangosítóként, FM modulátorként, dupla USB gyorstöltőként, zenelejátszóként és akkumulátor voltmérőként egyaránt szolgál. 
Ez az eszköz ideális választás mindazoknak, akik vezetés közben élvezni szeretnék a modern technológia kényelmét és szórakoztatását. A SAL FMBT 18RGB segítségével telefonhívásokat intézhet anélkül, hogy megérintené telefonját – fogadhat, elutasíthat vagy akár hívószámot tárcsázhat közvetlenül az eszközről. Az angol nyelvű hívószám hangbemondás megkönnyíti a bejövő hívások kezelését, míg a zenelejátszás és a hívások hangja az autórádión keresztül hallható, így minden hívás és dal tisztán és erőteljesen szól. Az eszköz támogatja a Bluetooth, USB és microSD alapú (max. 32 GB) zenelejátszást, és akár a műsorszámokat is léptetheti távvezérléssel, így a zenei élmény teljes mértékben a saját kezében van.
A készülék külön basszus-kiemelés gombbal rendelkezik, amely azonnal fokozza a zenei élményt, mélyebb és erőteljesebb hangzást biztosítva. Az eszköz dupla USB gyorstöltő funkciója két portot kínál: egy 2,4A és egy QC3.0 portot, amely lehetővé teszi az eszközök gyors és hatékony töltését, akár egyszerre is. Az autós voltmérő segítségével ellenőrizheti járműve akkumulátorának állapotát, így elkerülheti a kellemetlen meglepetéseket. A SAL FMBT 18RGB emellett látványos RGB fényeffektekkel van felszerelve, amelyek kikapcsolhatók, ha a diszkrétebb megjelenést kedveli. A kényelmes forgatógombbal az eszköz kezelése egyszerű és gyors, a felhasználóbarát kialakítás pedig garantálja, hogy minden funkció könnyen elérhető. A 12 és 24 V-os járművekben egyaránt használható, így szinte minden autótípushoz ideális.
Válassza a SAL FMBT 18RGB autós kihangosítót és töltőt, hogy vezetés közben is élvezhesse a teljes zenei élményt, a biztonságos telefonálást és az eszköztöltést – mindezt egy stílusos, modern megjelenésű eszköz segítségével!</t>
        </is>
      </c>
    </row>
    <row r="1285">
      <c r="A1285" s="3" t="inlineStr">
        <is>
          <t>FMBT 280</t>
        </is>
      </c>
      <c r="B1285" s="2" t="inlineStr">
        <is>
          <t>SAL FMBT 280 autós kihangosító és töltő, beépített mikrofon, EQ, távirányító, automatikus csatlakozás</t>
        </is>
      </c>
      <c r="C1285" s="1" t="n">
        <v>5990.0</v>
      </c>
      <c r="D1285" s="7" t="n">
        <f>HYPERLINK("https://www.somogyi.hu/product/sal-fmbt-280-autos-kihangosito-es-tolto-beepitett-mikrofon-eq-taviranyito-automatikus-csatlakozas-fmbt-280-17986","https://www.somogyi.hu/product/sal-fmbt-280-autos-kihangosito-es-tolto-beepitett-mikrofon-eq-taviranyito-automatikus-csatlakozas-fmbt-280-17986")</f>
        <v>0.0</v>
      </c>
      <c r="E1285" s="7" t="n">
        <f>HYPERLINK("https://www.somogyi.hu/data/img/product_main_images/small/17986.jpg","https://www.somogyi.hu/data/img/product_main_images/small/17986.jpg")</f>
        <v>0.0</v>
      </c>
      <c r="F1285" s="2" t="inlineStr">
        <is>
          <t>5999084960087</t>
        </is>
      </c>
      <c r="G1285" s="4" t="inlineStr">
        <is>
          <t>Egy univerzális kiegészítőt keres, ami egyszerre tölt, kihangosít és zenét is lejátszik az autóban? A SAL FMBT 280 minden igényt kielégít, legyen szó telefonhívások kezeléséről, kedvenc zenéi hallgatásáról vagy eszközei töltéséről utazás közben.
Ez az autós kihangosító és töltő Bluetooth kapcsolaton keresztül biztosítja a telefon-kihangosítást és a zenelejátszást, támogatva az MP3/WMA formátumokat USB vagy microSD adattárolókról, amelyek akár 32GB méretűek is lehetnek. A 5V/1A kimeneti töltőport gondoskodik eszközei energiaellátásáról, miközben a beépített mikrofon és a kényelmes távirányítóval ellátott, billenthető kezelőfelület lehetővé teszi a hívások kezelését anélkül, hogy megérintené a telefont.
A kijelzőn könnyedén nyomon követheti a frekvenciát, a dal sorszámát, az eltelt időt, a hangerőt és a Bluetooth módját. Az EQ hangzásbeállításokkal személyre szabhatja az audio élményt, míg a hangbemondás a zökkenőmentes üzemmódváltásokhoz nyújt segítséget. A kezelőfelület praktikus kialakítása és a tartozék távirányító biztosítja, hogy minden funkció könnyen és biztonságosan elérhető legyen vezetés közben is.
Induljon útnak a SAL FMBT 280 autós kihangosítóval és töltővel, és élvezze a zavartalan kommunikációt és a minőségi zenei élményt, miközben eszközei folyamatosan töltődnek. Ne hagyjon ki egyetlen hívást vagy kedvenc számot sem, válassza ezt a praktikus és multifunkcionális megoldást vezetéshez!</t>
        </is>
      </c>
    </row>
    <row r="1286">
      <c r="A1286" s="6" t="inlineStr">
        <is>
          <t xml:space="preserve">   Hangtechnika / Autós videotechnika</t>
        </is>
      </c>
      <c r="B1286" s="6" t="inlineStr">
        <is>
          <t/>
        </is>
      </c>
      <c r="C1286" s="6" t="inlineStr">
        <is>
          <t/>
        </is>
      </c>
      <c r="D1286" s="6" t="inlineStr">
        <is>
          <t/>
        </is>
      </c>
      <c r="E1286" s="6" t="inlineStr">
        <is>
          <t/>
        </is>
      </c>
      <c r="F1286" s="6" t="inlineStr">
        <is>
          <t/>
        </is>
      </c>
      <c r="G1286" s="6" t="inlineStr">
        <is>
          <t/>
        </is>
      </c>
    </row>
    <row r="1287">
      <c r="A1287" s="3" t="inlineStr">
        <is>
          <t>SA 143</t>
        </is>
      </c>
      <c r="B1287" s="2" t="inlineStr">
        <is>
          <t>SAL SA 143 tolatókamera, univerzális, színes segédábra, 6 m csatlakozókábel</t>
        </is>
      </c>
      <c r="C1287" s="1" t="n">
        <v>6690.0</v>
      </c>
      <c r="D1287" s="7" t="n">
        <f>HYPERLINK("https://www.somogyi.hu/product/sal-sa-143-tolatokamera-univerzalis-szines-segedabra-6-m-csatlakozokabel-sa-143-16155","https://www.somogyi.hu/product/sal-sa-143-tolatokamera-univerzalis-szines-segedabra-6-m-csatlakozokabel-sa-143-16155")</f>
        <v>0.0</v>
      </c>
      <c r="E1287" s="7" t="n">
        <f>HYPERLINK("https://www.somogyi.hu/data/img/product_main_images/small/16155.jpg","https://www.somogyi.hu/data/img/product_main_images/small/16155.jpg")</f>
        <v>0.0</v>
      </c>
      <c r="F1287" s="2" t="inlineStr">
        <is>
          <t>5999084941871</t>
        </is>
      </c>
      <c r="G1287" s="4" t="inlineStr">
        <is>
          <t>Egy praktikus, könnyen beszerelhető tolatókamerát keres, amely biztonságosabbá és egyszerűbbé teszi a parkolást? A SAL SA 143 univerzális tolatókamera tökéletes választás a legtöbb jármű számára! 
Ez a kompakt és megbízható kamera lehetővé teszi a kényelmes tolatást és parkolást, akár szűk helyeken is. Ha Ön már rendelkezik egy kompatibilis autórádióval vagy önálló monitorral, ez a kamera automatikusan csatlakozik, és azonnal megjeleníti a tolatás képét, amint hátramenetbe kapcsol. A SAL SA 143 tolatókamera színes segédábrával támogatja a pontos manőverezést, így minden helyzetben jól láthatja, hogy mennyi hely áll rendelkezésére. Az univerzális tervezés lehetővé teszi, hogy szinte bármilyen autómodellbe könnyedén beépítse, így egyetlen készülék képes sokoldalúan kiszolgálni az eltérő járműtípusokat is. A 6 méteres csatlakozókábel pedig megfelelő rugalmasságot biztosít, hogy a kamera elérje a műszerfalhoz csatlakoztatott monitor vagy autórádió kijelzőjét. A készülék mérete ∅18 x 21 mm, így diszkréten illeszkedik az autó külső megjelenéséhez, miközben hatékony segítséget nyújt a tolatásban. A színes segédábra a képernyőn megjelenő vonalakkal egyértelmű útmutatást ad, így biztos lehet benne, hogy mindig a megfelelő távolságot tartja az akadályoktól.
Válassza a SAL SA 143 tolatókamerát, és élvezze a biztonságosabb parkolást és tolatást!</t>
        </is>
      </c>
    </row>
    <row r="1288">
      <c r="A1288" s="6" t="inlineStr">
        <is>
          <t xml:space="preserve">   Hangtechnika / Szubláda, szubcső</t>
        </is>
      </c>
      <c r="B1288" s="6" t="inlineStr">
        <is>
          <t/>
        </is>
      </c>
      <c r="C1288" s="6" t="inlineStr">
        <is>
          <t/>
        </is>
      </c>
      <c r="D1288" s="6" t="inlineStr">
        <is>
          <t/>
        </is>
      </c>
      <c r="E1288" s="6" t="inlineStr">
        <is>
          <t/>
        </is>
      </c>
      <c r="F1288" s="6" t="inlineStr">
        <is>
          <t/>
        </is>
      </c>
      <c r="G1288" s="6" t="inlineStr">
        <is>
          <t/>
        </is>
      </c>
    </row>
    <row r="1289">
      <c r="A1289" s="3" t="inlineStr">
        <is>
          <t>BS 10</t>
        </is>
      </c>
      <c r="B1289" s="2" t="inlineStr">
        <is>
          <t>SAL BS 10 szubláda, 150 W, 250 mm hangszóró, 4 Ohm, polipropilén membrán, 355 x 300 x 180 mm</t>
        </is>
      </c>
      <c r="C1289" s="1" t="n">
        <v>23690.0</v>
      </c>
      <c r="D1289" s="7" t="n">
        <f>HYPERLINK("https://www.somogyi.hu/product/sal-bs-10-szublada-150-w-250-mm-hangszoro-4-ohm-polipropilen-membran-355-x-300-x-180-mm-bs-10-14179","https://www.somogyi.hu/product/sal-bs-10-szublada-150-w-250-mm-hangszoro-4-ohm-polipropilen-membran-355-x-300-x-180-mm-bs-10-14179")</f>
        <v>0.0</v>
      </c>
      <c r="E1289" s="7" t="n">
        <f>HYPERLINK("https://www.somogyi.hu/data/img/product_main_images/small/14179.jpg","https://www.somogyi.hu/data/img/product_main_images/small/14179.jpg")</f>
        <v>0.0</v>
      </c>
      <c r="F1289" s="2" t="inlineStr">
        <is>
          <t>5999084922276</t>
        </is>
      </c>
      <c r="G1289" s="4" t="inlineStr">
        <is>
          <t>Szeretné, ha autójában a zenei élmény mély és dinamikus basszusokkal válna teljessé? A SAL BS 10 szubláda pontosan ezt nyújtja Önnek: egy kivételes 150 W teljesítményű mélynyomóval, amely nem csupán erőteljes hangzást biztosít, de stílusos, vékony kialakításának köszönhetően könnyedén elhelyezhető minden autóban. 
A termék 250 mm-es mélysugárzója polipropilén membránnal (PP kónusz) van felszerelve, amely kiváló hangminőséget és hosszú élettartamot biztosít, akár intenzív használat mellett is. A dynamic-bass konstrukció gondoskodik arról, hogy minden zenei műfajhoz illeszkedjen, a frekvenciaválasz pedig 35-3.500 Hz között mozog, így mind a mély, mind a középtartomány tiszta és részletgazdag hangzásban szólal meg. A SAL BS 10 szubláda 4 Ohm impedanciával működik, amely stabil teljesítményt nyújt, és lehetővé teszi a különféle autós hangrendszerekkel való kompatibilitást.
A külső megjelenését tekintve, a fekete kárpit bevonat elegáns, modern megjelenést biztosít, miközben az ívelt sarkok védik a szubládát a külső behatásokkal szemben. Ez a strapabíró kivitel hosszú távú megbízhatóságot garantál, így Ön mindig gondtalanul élvezheti kedvenc zenéit. A csíptetős vezetékcsatlakozó révén a beszerelés egyszerű, ugyanakkor stabil kapcsolatot biztosít, így nincs szükség bonyolult kábelezésre. A SAL BS 10 szubláda ideális választás mindazok számára, akik hangváltóval ellátott autós szub-erősítőkhöz keresnek professzionális mélynyomót. A 355 x 300 x 180 mm-es vékony kivitel pedig lehetővé teszi, hogy a szűkebb helyeken is kényelmesen elhelyezhető legyen az autóban.
Ne várjon tovább, tegye különlegessé az autós utazásokat! Szerezze be most a SAL BS 10 szubládát, és élvezze az utazások minden pillanatát az erőteljes, tiszta basszusokkal!</t>
        </is>
      </c>
    </row>
    <row r="1290">
      <c r="A1290" s="3" t="inlineStr">
        <is>
          <t>BS 10/A</t>
        </is>
      </c>
      <c r="B1290" s="2" t="inlineStr">
        <is>
          <t>SAL BS 10/A aktív szubláda, 200 W, 250 mm hangszóró, polipropilén kónusz, 4 Ohm, 340 x 310 x 280 mm, 100 W erősítő</t>
        </is>
      </c>
      <c r="C1290" s="1" t="n">
        <v>42190.0</v>
      </c>
      <c r="D1290" s="7" t="n">
        <f>HYPERLINK("https://www.somogyi.hu/product/sal-bs-10-a-aktiv-szublada-200-w-250-mm-hangszoro-polipropilen-konusz-4-ohm-340-x-310-x-280-mm-100-w-erosito-bs-10-a-14180","https://www.somogyi.hu/product/sal-bs-10-a-aktiv-szublada-200-w-250-mm-hangszoro-polipropilen-konusz-4-ohm-340-x-310-x-280-mm-100-w-erosito-bs-10-a-14180")</f>
        <v>0.0</v>
      </c>
      <c r="E1290" s="7" t="n">
        <f>HYPERLINK("https://www.somogyi.hu/data/img/product_main_images/small/14180.jpg","https://www.somogyi.hu/data/img/product_main_images/small/14180.jpg")</f>
        <v>0.0</v>
      </c>
      <c r="F1290" s="2" t="inlineStr">
        <is>
          <t>5999084922283</t>
        </is>
      </c>
      <c r="G1290" s="4" t="inlineStr">
        <is>
          <t>Ön is vágyik arra, hogy autójában a zenék minden basszusa úgy szólaljon meg, mintha egy koncerten lenne? A SAL BS 10/A aktív szubláda mindezt elhozza az Ön számára, a 200 W teljesítményű mélynyomó és beépített erősítő révén, melyek együttesen gondoskodnak a dinamikus és tiszta hangzásról. 
A termék kimagasló tulajdonsága a 2in1 konstrukció, amely lehetővé teszi, hogy az erősítő és mélysugárzó egyetlen kompakt egységben legyen, így helyet takarít meg, ugyanakkor maximális teljesítményt biztosít. A 250 mm-es mélysugárzó polipropilén kónusszal (PP kónusz) és 4 Ohm ellenállással rendelkezik, amely az autós zenehallgatás minden pillanatát kiemelkedő basszushatásokkal tölti meg. A dinamikus-bass konstrukció optimalizálja a hangzást a teljesítményértékekhez (Pm/n: 200/150 W és PA: 100 W), így Ön biztos lehet benne, hogy minden frekvenciatartományban tökéletes hangzásban lesz része. 
A szabályozható hangváltó 35-200 Hz között állítható, amely lehetővé teszi az egyéni igényekhez igazított basszusbeállításokat, hogy mindig az Ön ízlése szerint szóljon a zene.
A magas és alacsony jelszintű bemenetek (hangszóró és RCA bemenetek) révén a termék minden autóhoz és autórádióhoz illeszkedik, így univerzális megoldás a legtöbb autóhifi rendszerhez. Kompakt kialakításának köszönhetően a 340 x 310 x 280 mm méretű szubláda kis helyigényű, így akár kisebb autókban is könnyen elhelyezhető anélkül, hogy az utastérben túl sok helyet foglalna el.
Ne hagyja, hogy zenei élményei gyenge minőségű basszusokon múljanak! Válassza a SAL BS 10/A aktív szubládát, és élvezze a mély, dübörgő basszusokat, amelyektől autója hangrendszere valóban életre kel.</t>
        </is>
      </c>
    </row>
    <row r="1291">
      <c r="A1291" s="6" t="inlineStr">
        <is>
          <t xml:space="preserve">   Hangtechnika / Autóhangszóró</t>
        </is>
      </c>
      <c r="B1291" s="6" t="inlineStr">
        <is>
          <t/>
        </is>
      </c>
      <c r="C1291" s="6" t="inlineStr">
        <is>
          <t/>
        </is>
      </c>
      <c r="D1291" s="6" t="inlineStr">
        <is>
          <t/>
        </is>
      </c>
      <c r="E1291" s="6" t="inlineStr">
        <is>
          <t/>
        </is>
      </c>
      <c r="F1291" s="6" t="inlineStr">
        <is>
          <t/>
        </is>
      </c>
      <c r="G1291" s="6" t="inlineStr">
        <is>
          <t/>
        </is>
      </c>
    </row>
    <row r="1292">
      <c r="A1292" s="3" t="inlineStr">
        <is>
          <t>CX 604</t>
        </is>
      </c>
      <c r="B1292" s="2" t="inlineStr">
        <is>
          <t>SAL CX 604 2 utas hangszórópár, 2 x 100 W, 165 mm, 4 Ohm, magas és mélyközép</t>
        </is>
      </c>
      <c r="C1292" s="1" t="n">
        <v>13890.0</v>
      </c>
      <c r="D1292" s="7" t="n">
        <f>HYPERLINK("https://www.somogyi.hu/product/sal-cx-604-2-utas-hangszoropar-2-x-100-w-165-mm-4-ohm-magas-es-melykozep-cx-604-13030","https://www.somogyi.hu/product/sal-cx-604-2-utas-hangszoropar-2-x-100-w-165-mm-4-ohm-magas-es-melykozep-cx-604-13030")</f>
        <v>0.0</v>
      </c>
      <c r="E1292" s="7" t="n">
        <f>HYPERLINK("https://www.somogyi.hu/data/img/product_main_images/small/13030.jpg","https://www.somogyi.hu/data/img/product_main_images/small/13030.jpg")</f>
        <v>0.0</v>
      </c>
      <c r="F1292" s="2" t="inlineStr">
        <is>
          <t>5999084912116</t>
        </is>
      </c>
      <c r="G1292" s="4" t="inlineStr">
        <is>
          <t>Elege van a gyenge minőségű autós hangzásból, és professzionális hangélményre vágyik? A SAL CX 604 2 utas hangszórópár tökéletes választás minden autóhifi rajongónak, aki a részletekre is odafigyel. 
Ez a 165 mm-es hangszórópár 2 x 100 W maximális teljesítményt nyújt, így erőteljes és tiszta hangzást biztosít. A mélyközép hangszóró PP kónusszal rendelkezik, amely kiemelkedő basszusokat és gazdag középtartományt eredményez, ideális az erőteljes mélyhangok kedvelőinek. A magas frekvenciákat a 35 mm-es MYLAR dómsugárzó teszi kristálytisztává, amely minden apró részletet kiemel, így a zene minden árnyalatát élvezheti. Az érzékenység, amely 90 dB, garantálja, hogy a hangszórók tisztán és részletgazdagon szólalnak meg még magasabb hangerőnél is, így Ön mindig zavartalan zenei élményben részesülhet.
A SAL CX 604 frekvencia-átvitele 45 Hz-től 20.000 Hz-ig terjed, biztosítva, hogy minden zenei tartomány tökéletesen érvényesüljön. A 4 Ohm impedancia kiváló kompatibilitást nyújt, amely lehetővé teszi a legtöbb autós hangrendszerrel való zökkenőmentes működést. A kétutas felépítés biztosítja, hogy a hangzás mindig egyenletes és kiegyensúlyozott legyen, így az autóban való zenehallgatás valóban felejthetetlen élménnyé válik. Ha az autós zenehallgatásban az egyedülálló hangminőséget keresi, a SAL CX 604 hangszórópár a tökéletes választás. 
Emelje új szintre az autós utazásokat, és élvezze a SAL CX 604 páratlan hangélményét – válassza most ezt a professzionális megoldást, és hozza ki a legtöbbet autójából!</t>
        </is>
      </c>
    </row>
    <row r="1293">
      <c r="A1293" s="3" t="inlineStr">
        <is>
          <t>AHX 1620/BK</t>
        </is>
      </c>
      <c r="B1293" s="2" t="inlineStr">
        <is>
          <t>SAL AHX 1620/BK mélysugárzó, 60 W, kevlár kónusz, 4 Ohm, 50 - 7000 Hz, 1" hangtekercs, 2 réteg</t>
        </is>
      </c>
      <c r="C1293" s="1" t="n">
        <v>10090.0</v>
      </c>
      <c r="D1293" s="7" t="n">
        <f>HYPERLINK("https://www.somogyi.hu/product/sal-ahx-1620-bk-melysugarzo-60-w-kevlar-konusz-4-ohm-50-7000-hz-1-hangtekercs-2-reteg-ahx-1620-bk-8796","https://www.somogyi.hu/product/sal-ahx-1620-bk-melysugarzo-60-w-kevlar-konusz-4-ohm-50-7000-hz-1-hangtekercs-2-reteg-ahx-1620-bk-8796")</f>
        <v>0.0</v>
      </c>
      <c r="E1293" s="7" t="n">
        <f>HYPERLINK("https://www.somogyi.hu/data/img/product_main_images/small/08796.jpg","https://www.somogyi.hu/data/img/product_main_images/small/08796.jpg")</f>
        <v>0.0</v>
      </c>
      <c r="F1293" s="2" t="inlineStr">
        <is>
          <t>5998312776780</t>
        </is>
      </c>
      <c r="G1293" s="4" t="inlineStr">
        <is>
          <t>Egy kiváló minőségű hangszórót keres, amely erőteljes és tiszta mélyhangzást biztosít? A SAL AHX 1620/BK mélysugárzó ideális választás, ha olyan hangszóróra van szüksége, amely megbízható teljesítményt nyújt, és a mélyhangokat is kristálytisztán adja vissza. 
A kevlár kónusz kialakítás nemcsak könnyű és erős, hanem kiváló hanghűséget is biztosít, így tökéletes mélyhangokat élvezhet. A 4 Ohm-os impedancia és a 60 W maximális teljesítmény kombinációja kiválóan alkalmazkodik különféle hangrendszerekhez. Az 50–7.000 Hz frekvenciatartománnyal a mély és középtartományok kiegyensúlyozott hangzását garantálja. Az SPL értéke 88 dB, így nagyobb hangerő mellett is tisztán hallható marad a hangzás. A 2 rétegű, 1 colos hangtekercs és az alumínium csévetest biztosítja a hatékony hőelvezetést és a tartósságot. A 20 unciás mágnes stabil és erős mágneses teret hoz létre, amely a mélyhangok precíz reprodukcióját segíti.
Ne hagyja, hogy eszköze korlátozza zenei élményeit! Válassza a SAL AHX 1620/BK mélysugárzót, és fedezze fel a gazdag, tiszta mélyhangok világát!</t>
        </is>
      </c>
    </row>
    <row r="1294">
      <c r="A1294" s="3" t="inlineStr">
        <is>
          <t>AHX 2030/BK</t>
        </is>
      </c>
      <c r="B1294" s="2" t="inlineStr">
        <is>
          <t>SAL AHX 2030/BK mélysugárzó, 120 W, kevlár kónusz, 4 Ohm, 40 - 4000 Hz, 1,5" hangtekercs, 4 réteg</t>
        </is>
      </c>
      <c r="C1294" s="1" t="n">
        <v>16790.0</v>
      </c>
      <c r="D1294" s="7" t="n">
        <f>HYPERLINK("https://www.somogyi.hu/product/sal-ahx-2030-bk-melysugarzo-120-w-kevlar-konusz-4-ohm-40-4000-hz-1-5-hangtekercs-4-reteg-ahx-2030-bk-8800","https://www.somogyi.hu/product/sal-ahx-2030-bk-melysugarzo-120-w-kevlar-konusz-4-ohm-40-4000-hz-1-5-hangtekercs-4-reteg-ahx-2030-bk-8800")</f>
        <v>0.0</v>
      </c>
      <c r="E1294" s="7" t="n">
        <f>HYPERLINK("https://www.somogyi.hu/data/img/product_main_images/small/08800.jpg","https://www.somogyi.hu/data/img/product_main_images/small/08800.jpg")</f>
        <v>0.0</v>
      </c>
      <c r="F1294" s="2" t="inlineStr">
        <is>
          <t>5998312776827</t>
        </is>
      </c>
      <c r="G1294" s="4" t="inlineStr">
        <is>
          <t>Szeretné tökéletesen élvezni a mélyhangokat és fokozni a zenei élményt? A SAL AHX 2030/BK mélysugárzó a kiváló hangminőség és a nagy teljesítmény ideális kombinációját nyújtja, hogy zenéi minden frekvencián tökéletesen szóljanak. 
Ez a mélysugárzó 80 W névleges teljesítményre (Pn) és 120 W maximális teljesítményre (Pm) képes, így erőteljes, ugyanakkor tiszta hangzást biztosít, még nagyobb hangerő mellett is. A 4 Ohm-os impedancia biztosítja a kompatibilitást számos audió rendszerrel. A kevlár kónusz gondoskodik a kiváló mélyhangok reprodukciójáról, a 40–4.000 Hz frekvenciatartomány pedig lehetővé teszi, hogy a legmélyebb basszusok és a középtartomány is tisztán szóljon. Az SPL értéke 88 dB, így dinamikus hangzást érhet el, anélkül, hogy torzításba ütközne. A hangtekercs 1,5 colos, 4 rétegű kialakítása megbízható működést nyújt, míg az alumínium csévetest biztosítja a hatékony hőelvezetést, amely hosszabb használat során is optimális teljesítményt garantál. A 30 unciás mágnes stabil mágneses teret biztosít, amely a mélyhangok pontos és részletgazdag megszólaltatását segíti elő.
Válassza a SAL AHX 2030/BK mélysugárzót, és tapasztalja meg a mélyhangok intenzitását, amely mindenkit lenyűgöz!</t>
        </is>
      </c>
    </row>
    <row r="1295">
      <c r="A1295" s="3" t="inlineStr">
        <is>
          <t>WRX 313</t>
        </is>
      </c>
      <c r="B1295" s="2" t="inlineStr">
        <is>
          <t>SAL WRX 313 3 utas hangszórópár, 2 x 90 W, 130 mm, 4 Ohm</t>
        </is>
      </c>
      <c r="C1295" s="1" t="n">
        <v>19390.0</v>
      </c>
      <c r="D1295" s="7" t="n">
        <f>HYPERLINK("https://www.somogyi.hu/product/sal-wrx-313-3-utas-hangszoropar-2-x-90-w-130-mm-4-ohm-wrx-313-7982","https://www.somogyi.hu/product/sal-wrx-313-3-utas-hangszoropar-2-x-90-w-130-mm-4-ohm-wrx-313-7982")</f>
        <v>0.0</v>
      </c>
      <c r="E1295" s="7" t="n">
        <f>HYPERLINK("https://www.somogyi.hu/data/img/product_main_images/small/07982.jpg","https://www.somogyi.hu/data/img/product_main_images/small/07982.jpg")</f>
        <v>0.0</v>
      </c>
      <c r="F1295" s="2" t="inlineStr">
        <is>
          <t>5998312769379</t>
        </is>
      </c>
      <c r="G1295" s="4" t="inlineStr">
        <is>
          <t>Elgondolkodott már azon, hogy autójában milyen lenne a zene valóban részletgazdagon, tisztán megszólaltatva? A SAL WRX 313 3 utas hangszórópár az ideális választás, ha minőségi zenei élményt keres az autóban. 
Ez a 130 mm-es, háromutas hangszórópár kiemelkedő, 180 W (2 x 90 W) maximális teljesítményt nyújt, amely tökéletes egyensúlyt biztosít a különböző frekvenciatartományok között. A hangszóró mélysugárzója egy 130 mm-es PEI kónuszból áll, amely az erőteljes és tiszta basszusokért felelős. Ez biztosítja, hogy a mélyebb hangok mindig részletgazdagon és pontosan szólaljanak meg. A középtartományban egy 30 mm-es mylar dómsugárzó gondoskodik a tiszta, természetes hangzásról, míg a 15 mm-es piezo magassugárzó a magas frekvenciák részleteit kiemelve biztosítja a kristálytiszta hangzást. A háromutas kialakítás révén minden hangszóróelem tökéletesen kiegészíti egymást, így a hangzás kiegyensúlyozott és élethű lesz.
A SAL WRX 313 hangszóró frekvencia-átvitele 50 Hz-től 20.000 Hz-ig terjed, ami lehetővé teszi, hogy az autós zenehallgatás minden részletét élvezhesse, bármilyen zenei műfajról legyen is szó. A hangszóró érzékenysége 87 dB, így akár alacsonyabb teljesítmény mellett is kiváló hangzást biztosít. A 4 Ohm impedancia kompatibilitást biztosít számos autós hangrendszerrel, így Ön egyszerűen élvezheti az új hangzást autójában.
Válassza a SAL WRX 313 3 utas hangszórópárt, és engedje, hogy autója belső terét a prémium hangzás töltse meg! Szerezze be most, hogy minden utazás felejthetetlen zenei élménnyé váljon!</t>
        </is>
      </c>
    </row>
    <row r="1296">
      <c r="A1296" s="3" t="inlineStr">
        <is>
          <t>CX 504</t>
        </is>
      </c>
      <c r="B1296" s="2" t="inlineStr">
        <is>
          <t>SAL CX 504 2 utas hangszórópár, 2 x 75 W, 130 mm, 4 Ohm, magas és mélyközép</t>
        </is>
      </c>
      <c r="C1296" s="1" t="n">
        <v>12490.0</v>
      </c>
      <c r="D1296" s="7" t="n">
        <f>HYPERLINK("https://www.somogyi.hu/product/sal-cx-504-2-utas-hangszoropar-2-x-75-w-130-mm-4-ohm-magas-es-melykozep-cx-504-13029","https://www.somogyi.hu/product/sal-cx-504-2-utas-hangszoropar-2-x-75-w-130-mm-4-ohm-magas-es-melykozep-cx-504-13029")</f>
        <v>0.0</v>
      </c>
      <c r="E1296" s="7" t="n">
        <f>HYPERLINK("https://www.somogyi.hu/data/img/product_main_images/small/13029.jpg","https://www.somogyi.hu/data/img/product_main_images/small/13029.jpg")</f>
        <v>0.0</v>
      </c>
      <c r="F1296" s="2" t="inlineStr">
        <is>
          <t>5999084912109</t>
        </is>
      </c>
      <c r="G1296" s="4" t="inlineStr">
        <is>
          <t>Elképzelte már, hogy autójában minden zenei részlet életre keljen, mély és tiszta hangokkal? A SAL CX 504 2 utas hangszórópár megadja ezt az élményt, kifejezetten azok számára, akik kompromisszumok nélkül kívánják élvezni a zenét autójukban. 
A 130 mm átmérőjű mélyközép hangszóró PP kónusszal van ellátva, amely erőteljes basszusokat és részletgazdag középtartományt biztosít, minden zenei műfajhoz alkalmazkodva. A 30 mm-es MYLAR dómsugárzó gondoskodik a tiszta magas frekvenciákról, hogy a hangzás kiegyensúlyozott és élénk maradjon. Az 50 Hz-től 20.000 Hz-ig terjedő frekvenciaátvitel lehetővé teszi, hogy a zenei hangok teljes spektruma precízen és telten szólaljon meg. 
A hangszórópár 2 x 75 W maximális teljesítménnyel rendelkezik, így összesen 150 wattos terhelhetőséget nyújt, ami elegendő ahhoz, hogy autóját élettel és dinamikával töltse meg. A 4 Ohm impedancia révén a SAL CX 504 kiválóan illeszkedik a legtöbb autós hangrendszerhez, így nem csupán a telepítése egyszerű, de kompatibilitása is széleskörű. A 89 dB érzékenységi szint pedig biztosítja, hogy a hangzás még magasabb hangerőnél is torzításmentesen, tisztán és erőteljesen szólaljon meg.
Ne engedje, hogy a gyenge hangminőség elrontsa az autós zenehallgatást! Válassza a SAL CX 504 2 utas hangszórópárt, hogy az utazás minden pillanata zenei élménnyé váljon!</t>
        </is>
      </c>
    </row>
    <row r="1297">
      <c r="A1297" s="3" t="inlineStr">
        <is>
          <t>WRX 310</t>
        </is>
      </c>
      <c r="B1297" s="2" t="inlineStr">
        <is>
          <t>SAL WRX 310 3 utas hangszórópár, 2 x 70 W, 100 mm, 4 Ohm</t>
        </is>
      </c>
      <c r="C1297" s="1" t="n">
        <v>16590.0</v>
      </c>
      <c r="D1297" s="7" t="n">
        <f>HYPERLINK("https://www.somogyi.hu/product/sal-wrx-310-3-utas-hangszoropar-2-x-70-w-100-mm-4-ohm-wrx-310-7981","https://www.somogyi.hu/product/sal-wrx-310-3-utas-hangszoropar-2-x-70-w-100-mm-4-ohm-wrx-310-7981")</f>
        <v>0.0</v>
      </c>
      <c r="E1297" s="7" t="n">
        <f>HYPERLINK("https://www.somogyi.hu/data/img/product_main_images/small/07981.jpg","https://www.somogyi.hu/data/img/product_main_images/small/07981.jpg")</f>
        <v>0.0</v>
      </c>
      <c r="F1297" s="2" t="inlineStr">
        <is>
          <t>5998312769362</t>
        </is>
      </c>
      <c r="G1297" s="4" t="inlineStr">
        <is>
          <t>Gondolkodott már azon, hogy autójában egy kompakt hangszórópár is nyújthat kivételes zenei élményt? A SAL WRX 310 3 utas hangszórópár megmutatja, hogy a méret nem minden, amikor a minőségi hangzásról van szó. 
Ez a 100 mm átmérőjű hangszórópár összesen 140 W (2 x 70 W) zenei terhelhetőséggel rendelkezik, így erőteljes és tiszta hangzást biztosít minden zenei stílushoz, legyen szó dinamikus basszusokról vagy részletgazdag magas hangokról. A mélyhangok visszaadásáról egy 100 mm-es PEI kónusszal ellátott mélysugárzó gondoskodik, amely a kompakt méret ellenére telt basszusokat és gazdag középtartományt kínál. A középfrekvenciákat egy 30 mm-es mylar dómsugárzó szólaltatja meg, amely tiszta és kiegyensúlyozott hangzást biztosít, míg a 15 mm-es piezo magassugárzó a magas hangokat kristálytisztán adja vissza, hogy minden zenei részlet hallható legyen. 
A háromutas rendszernek köszönhetően minden hangszóróelem külön rétegként szólal meg, így a zene minden árnyalata tökéletesen érzékelhető.
A SAL WRX 310 frekvenciaátvitele 60 Hz-től 20.000 Hz-ig terjed, amely ideális választás a teljes hangspektrum visszaadására. A 86 dB-es érzékenységi szint lehetővé teszi, hogy még alacsonyabb hangerő mellett is tiszta és dinamikus hangzást nyújtson. A 4 Ohm impedancia kompatibilitást biztosít a legtöbb autós hangrendszerrel, így könnyedén beilleszthető bármely járműbe.
Emelje új szintre az autós zenehallgatás élményét a SAL WRX 310 hangszórópárral!</t>
        </is>
      </c>
    </row>
    <row r="1298">
      <c r="A1298" s="3" t="inlineStr">
        <is>
          <t>BK 087</t>
        </is>
      </c>
      <c r="B1298" s="2" t="inlineStr">
        <is>
          <t>SAL BK 087 autóhangszóró pár, 87 mm, 2 x 35 Wmax, 75 - 18.500 Hz, 85 dB, PEI magas tölcsér, cellulóz mélyközép kónusz</t>
        </is>
      </c>
      <c r="C1298" s="1" t="n">
        <v>4890.0</v>
      </c>
      <c r="D1298" s="7" t="n">
        <f>HYPERLINK("https://www.somogyi.hu/product/sal-bk-087-autohangszoro-par-87-mm-2-x-35-wmax-75-18-500-hz-85-db-pei-magas-tolcser-celluloz-melykozep-konusz-bk-087-11832","https://www.somogyi.hu/product/sal-bk-087-autohangszoro-par-87-mm-2-x-35-wmax-75-18-500-hz-85-db-pei-magas-tolcser-celluloz-melykozep-konusz-bk-087-11832")</f>
        <v>0.0</v>
      </c>
      <c r="E1298" s="7" t="n">
        <f>HYPERLINK("https://www.somogyi.hu/data/img/product_main_images/small/11832.jpg","https://www.somogyi.hu/data/img/product_main_images/small/11832.jpg")</f>
        <v>0.0</v>
      </c>
      <c r="F1298" s="2" t="inlineStr">
        <is>
          <t>5999084900441</t>
        </is>
      </c>
      <c r="G1298" s="4" t="inlineStr">
        <is>
          <t>Szeretné, hogy autója kis méretű hangszórói is tiszta és részletgazdag hangzást biztosítsanak? A SAL BK 087 autóhangszóró pár tökéletes megoldás azok számára, akik az autóban is élvezni szeretnék a minőségi hangélményt. 
Ez a 87 mm-es hangszórópár 2 x 35 W maximális teljesítménnyel rendelkezik, így összesen 70 W zenei terhelhetőséget kínál, kompakt mérete ellenére erőteljes és megbízható hangzást biztosít. A SAL BK 087 hangszórópár mélyközép tartományát egy cellulóz kónuszú mélysugárzó adja vissza, amely természetes és telt basszusokat eredményez. Ez a kialakítás biztosítja, hogy a mély és középfrekvenciák gazdag hangzással töltsék meg az autó terét. 
A PEI tölcsérből készült magassugárzó a magas hangokat tisztán és részletesen adja vissza, így a zene minden finom árnyalatát élvezheti.
A hangszórók frekvencia-átvitele 75 Hz-től 18.500 Hz-ig terjed, ezáltal a hangspektrum széles részét képesek visszaadni. Az érzékenységi szint 85 dB, amely garantálja, hogy az autóban tiszta és élvezetes hangzásban legyen része akár alacsonyabb hangerőnél is. A 4 Ohm impedanciával pedig a SAL BK 087 hangszórópár kompatibilis a legtöbb autós hangrendszerrel, így sokoldalúan alkalmazható különféle típusú járművekben.
Élvezze a zenehallgatást még autózás közben is a SAL BK 087 hangszórópárral, amely kis mérete ellenére kiváló hangzást biztosít!</t>
        </is>
      </c>
    </row>
    <row r="1299">
      <c r="A1299" s="3" t="inlineStr">
        <is>
          <t>BK 165</t>
        </is>
      </c>
      <c r="B1299" s="2" t="inlineStr">
        <is>
          <t>SAL BK 165 autóhangszóró pár, 165 mm, dupla kónusz, 2 x 75 Wmax, 4 Ohm, 45 - 19.000 Hz, 86 dB, PEI magas tölcsér, cellulóz mélyközép kónusz</t>
        </is>
      </c>
      <c r="C1299" s="1" t="n">
        <v>8590.0</v>
      </c>
      <c r="D1299" s="7" t="n">
        <f>HYPERLINK("https://www.somogyi.hu/product/sal-bk-165-autohangszoro-par-165-mm-dupla-konusz-2-x-75-wmax-4-ohm-45-19-000-hz-86-db-pei-magas-tolcser-celluloz-melykozep-konusz-bk-165-11834","https://www.somogyi.hu/product/sal-bk-165-autohangszoro-par-165-mm-dupla-konusz-2-x-75-wmax-4-ohm-45-19-000-hz-86-db-pei-magas-tolcser-celluloz-melykozep-konusz-bk-165-11834")</f>
        <v>0.0</v>
      </c>
      <c r="E1299" s="7" t="n">
        <f>HYPERLINK("https://www.somogyi.hu/data/img/product_main_images/small/11834.jpg","https://www.somogyi.hu/data/img/product_main_images/small/11834.jpg")</f>
        <v>0.0</v>
      </c>
      <c r="F1299" s="2" t="inlineStr">
        <is>
          <t>5999084900465</t>
        </is>
      </c>
      <c r="G1299" s="4" t="inlineStr">
        <is>
          <t>Úgy érzi, autójában nem teljes a zenei élmény, és tökéletes hangzásra vágyik? A SAL BK 165 autóhangszóró pár ideális választás, ha tiszta, részletgazdag hangot és erőteljes mélyközép tartományt keres. 
Ez a 165 mm átmérőjű dupla kónuszos hangszóró két csúcsteljesítményű, 75 wattos egységből áll, így összesen 150 wattos zenei terhelhetőséget biztosít – ami tökéletes választás minden zenei műfajhoz, legyen az basszusokban gazdag elektronikus zene vagy éppen énekkel teli popzene. A hangszóró 4 Ohm ellenállása biztosítja a stabil működést és kiváló hatékonyságot, így kompatibilis a legtöbb autórádióval és erősítővel. A PEI tölcsérből készült magas frekvenciás sugárzó gondoskodik az éles, tiszta magas hangokról, amelyek kristálytisztán szólalnak meg. 
Emellett a cellulóz mélyközép kónusz kiegyensúlyozott, részletgazdag hangzást nyújt, amely minden frekvencián kiemelkedő teljesítményt biztosít. A SAL BK 165 autóhangszóró frekvencia-átvitele 45 Hz és 19.000 Hz között mozog, ami biztosítja, hogy a mély és magas hangok egyaránt kiváló minőségben szólaljanak meg, míg a 86 dB érzékenység garantálja a hangerőt és tisztaságot még nagyobb hangerőnél is. Ez a hangszóró kiváló választás minden autóhifit kedvelő számára, aki kompromisszumok nélkül kívánja élvezni a zenéit vezetés közben.
Adja meg autójának azt a hangminőséget, amit megérdemel, és élvezze a zenéket úgy, mintha a koncertteremben ülne! Szerezze be a SAL BK 165 autóhangszórót most, és tegye zenei élményeit valóban felejthetetlenné!</t>
        </is>
      </c>
    </row>
    <row r="1300">
      <c r="A1300" s="3" t="inlineStr">
        <is>
          <t>CX 404</t>
        </is>
      </c>
      <c r="B1300" s="2" t="inlineStr">
        <is>
          <t>SAL CX 404 2 utas hangszórópár, 2 x 55 W, 100 mm, 4 Ohm, magas és mélyközép</t>
        </is>
      </c>
      <c r="C1300" s="1" t="n">
        <v>10390.0</v>
      </c>
      <c r="D1300" s="7" t="n">
        <f>HYPERLINK("https://www.somogyi.hu/product/sal-cx-404-2-utas-hangszoropar-2-x-55-w-100-mm-4-ohm-magas-es-melykozep-cx-404-13028","https://www.somogyi.hu/product/sal-cx-404-2-utas-hangszoropar-2-x-55-w-100-mm-4-ohm-magas-es-melykozep-cx-404-13028")</f>
        <v>0.0</v>
      </c>
      <c r="E1300" s="7" t="n">
        <f>HYPERLINK("https://www.somogyi.hu/data/img/product_main_images/small/13028.jpg","https://www.somogyi.hu/data/img/product_main_images/small/13028.jpg")</f>
        <v>0.0</v>
      </c>
      <c r="F1300" s="2" t="inlineStr">
        <is>
          <t>5999084912093</t>
        </is>
      </c>
      <c r="G1300" s="4" t="inlineStr">
        <is>
          <t>Szeretne kompakt méretű hangszórót, amely kompromisszumok nélkül nyújt tiszta és erőteljes hangzást? A SAL CX 404 2 utas hangszórópár pontosan erre lett tervezve. 
Ezek a mindössze 100 mm-es hangszórók 2 x 55 W maximális teljesítménnyel rendelkeznek, így összesen 110 W-os zenei terhelhetőséget biztosítanak, hogy autójában minden zene életre keljen. Ez a hangszórópár tökéletesen illeszkedik kisebb méretű autókba vagy korlátozott helyű beépítési területekre, miközben a hangzásban nem köt kompromisszumot. A mélyközép tartományt egy 100 mm-es PP kónusz hangszóró biztosítja, amely meglepően erőteljes basszust és tiszta középtartományt kínál. A magas hangok tisztaságáról egy 30 mm-es MYLAR dómsugárzó gondoskodik, amely részletesen és pontosan szólaltatja meg a magasabb frekvenciákat, így az énekhangok és hangszeres részletek is kristálytisztán szólnak.
A hangszórópár frekvencia-átvitele 55 Hz-től 20.000 Hz-ig terjed, ami biztosítja, hogy a hangzás minden spektruma kiegyensúlyozottan szólaljon meg, bármilyen zenei stílusról is legyen szó. Az érzékenység 88 dB, amely még kisebb teljesítmény mellett is megbízható és részletgazdag hangzást nyújt, míg a 4 Ohm impedancia kiváló kompatibilitást biztosít a legtöbb autós hangrendszerrel.
Ne érje be kevesebbel, mint a minőségi hangzás! Válassza a SAL CX 404 2 utas hangszórópárt, és hozza el autójába a dinamikus és tiszta hangzás élményét.</t>
        </is>
      </c>
    </row>
    <row r="1301">
      <c r="A1301" s="3" t="inlineStr">
        <is>
          <t>WRX 316</t>
        </is>
      </c>
      <c r="B1301" s="2" t="inlineStr">
        <is>
          <t>SAL WRX 316 3 utas hangszórópár, 2 x 110 W, 165 mm, 4 Ohm, 88 dB, mylar dómsugárzó</t>
        </is>
      </c>
      <c r="C1301" s="1" t="n">
        <v>22890.0</v>
      </c>
      <c r="D1301" s="7" t="n">
        <f>HYPERLINK("https://www.somogyi.hu/product/sal-wrx-316-3-utas-hangszoropar-2-x-110-w-165-mm-4-ohm-88-db-mylar-domsugarzo-wrx-316-7983","https://www.somogyi.hu/product/sal-wrx-316-3-utas-hangszoropar-2-x-110-w-165-mm-4-ohm-88-db-mylar-domsugarzo-wrx-316-7983")</f>
        <v>0.0</v>
      </c>
      <c r="E1301" s="7" t="n">
        <f>HYPERLINK("https://www.somogyi.hu/data/img/product_main_images/small/07983.jpg","https://www.somogyi.hu/data/img/product_main_images/small/07983.jpg")</f>
        <v>0.0</v>
      </c>
      <c r="F1301" s="2" t="inlineStr">
        <is>
          <t>5998312769386</t>
        </is>
      </c>
      <c r="G1301" s="4" t="inlineStr">
        <is>
          <t>Úgy érzi, hogy autós hangrendszeréből hiányzik az igazi részletgazdagság és mélység? A SAL WRX 316 3 utas hangszórópár megoldást nyújt erre, hiszen olyan tiszta és mély hangzást biztosít, amely minden utazást különleges élménnyé varázsol. 
Ezzel a 2 x 110 W maximális teljesítményű hangszórópárral garantált a teljes és intenzív hangélmény, amely a 165 mm-es mély PEI kónusz, a 30 mm-es mylar dómsugárzó és a 15 mm-es piezo magassugárzó háromutas kialakításának köszönhetően minden frekvenciát tökéletesen szólaltat meg. A PEI kónusszal felszerelt mélysugárzó kiemelkedő basszusokat biztosít, így a zene alsó frekvenciái gazdagok és erőteljesek lesznek. A középtartományban a 30 mm-es mylar dómsugárzó gondoskodik a tiszta és kiegyensúlyozott hangzásról, amely élethűen adja vissza a középfrekvenciákat, így a zene minden részlete kiteljesedik. 
A 15 mm-es piezo magassugárzó pedig kristálytisztán szólaltatja meg a magas hangokat, így az énekhangok és magasabb hangszerek finom részletei is tökéletesen hallhatók. A SAL WRX 316 frekvencia-átvitele 45 Hz-től 20.000 Hz-ig terjed, így az egész hallható spektrumot lefedi, biztosítva ezzel az erőteljes, mégis tiszta hangzást minden zenei műfajban. A hangszórók 88 dB-es érzékenysége pedig azt jelenti, hogy a zene minden hangerőn kiegyensúlyozottan és torzításmentesen szólal meg, még a legintenzívebb zenei pillanatokban is.
Emelje új szintre autós zenehallgatási élményét a SAL WRX 316 hangszórópárral, és élvezze az autójában a stúdió minőségű hangzást!</t>
        </is>
      </c>
    </row>
    <row r="1302">
      <c r="A1302" s="3" t="inlineStr">
        <is>
          <t>BK 100</t>
        </is>
      </c>
      <c r="B1302" s="2" t="inlineStr">
        <is>
          <t>SAL BK 100 autóhangszóró pár, 100 mm, dupla kónusz, 2 x 45 Wmax, 4 Ohm, 55 - 19.000 Hz, 85 dB, PEI magas tölcsér, cellulóz mélyközép kónusz</t>
        </is>
      </c>
      <c r="C1302" s="1" t="n">
        <v>5690.0</v>
      </c>
      <c r="D1302" s="7" t="n">
        <f>HYPERLINK("https://www.somogyi.hu/product/sal-bk-100-autohangszoro-par-100-mm-dupla-konusz-2-x-45-wmax-4-ohm-55-19-000-hz-85-db-pei-magas-tolcser-celluloz-melykozep-konusz-bk-100-11828","https://www.somogyi.hu/product/sal-bk-100-autohangszoro-par-100-mm-dupla-konusz-2-x-45-wmax-4-ohm-55-19-000-hz-85-db-pei-magas-tolcser-celluloz-melykozep-konusz-bk-100-11828")</f>
        <v>0.0</v>
      </c>
      <c r="E1302" s="7" t="n">
        <f>HYPERLINK("https://www.somogyi.hu/data/img/product_main_images/small/11828.jpg","https://www.somogyi.hu/data/img/product_main_images/small/11828.jpg")</f>
        <v>0.0</v>
      </c>
      <c r="F1302" s="2" t="inlineStr">
        <is>
          <t>5999084900403</t>
        </is>
      </c>
      <c r="G1302" s="4" t="inlineStr">
        <is>
          <t>Egy olyan autó hangszórót keres, ami nem csak erős, hanem kristálytiszta hangzást is nyújt? A SAL BK 100 autó hangszóró pár tökéletes választás azok számára, akik minőségi hangzást szeretnének az autójukban. 
A mélyközép hangszóró ∅100 mm-es cellulóz kónuszának köszönhetően gazdag és mély hangokat produkál, míg a PEI tölcsér a magas hangokat tisztán és élesen szólaltatja meg. A 90 W zenei terhelhetősége (2 x 45 W max.) biztosítja, hogy a hangszóró bármilyen zenei stílust hibátlanul továbbíthasson, legyen az dinamikus pop, mély basszusú elektronikus zene vagy éppen részletgazdag klasszikus darab. A frekvencia-átvitel 55-19.000 Hz között mozog, ami széles spektrumú hangzást tesz lehetővé. Az 85 dB-es érzékenység pedig garantálja, hogy a hangszórók a kisebb teljesítményű fejegységekkel is kiválóan működjenek.
Ne engedje, hogy az autójában töltött idő unalmas utazássá váljon! A SAL BK 100 autó hangszóró párral minden út zenés kalanddá alakul. Rendelje meg most, és élvezze az utazást a tökéletes hangzásvilágban!</t>
        </is>
      </c>
    </row>
    <row r="1303">
      <c r="A1303" s="3" t="inlineStr">
        <is>
          <t>BK 130</t>
        </is>
      </c>
      <c r="B1303" s="2" t="inlineStr">
        <is>
          <t>SAL BK 130 autóhangszóró pár, 130 mm, dupla kónusz, 2 x 50 Wmax, 4 Ohm, 50 - 19.000 Hz, 86 dB, PEI magas tölcsér, cellulóz mélyközép kónusz</t>
        </is>
      </c>
      <c r="C1303" s="1" t="n">
        <v>6590.0</v>
      </c>
      <c r="D1303" s="7" t="n">
        <f>HYPERLINK("https://www.somogyi.hu/product/sal-bk-130-autohangszoro-par-130-mm-dupla-konusz-2-x-50-wmax-4-ohm-50-19-000-hz-86-db-pei-magas-tolcser-celluloz-melykozep-konusz-bk-130-11833","https://www.somogyi.hu/product/sal-bk-130-autohangszoro-par-130-mm-dupla-konusz-2-x-50-wmax-4-ohm-50-19-000-hz-86-db-pei-magas-tolcser-celluloz-melykozep-konusz-bk-130-11833")</f>
        <v>0.0</v>
      </c>
      <c r="E1303" s="7" t="n">
        <f>HYPERLINK("https://www.somogyi.hu/data/img/product_main_images/small/11833.jpg","https://www.somogyi.hu/data/img/product_main_images/small/11833.jpg")</f>
        <v>0.0</v>
      </c>
      <c r="F1303" s="2" t="inlineStr">
        <is>
          <t>5999084900458</t>
        </is>
      </c>
      <c r="G1303" s="4" t="inlineStr">
        <is>
          <t>Szeretné, ha autójában a zene élettel teli és részletgazdag hangzással szólalna meg? A SAL BK 130 autóhangszóró pár ideális választás azok számára, akik kifinomult hangminőséget keresnek, erőteljes mélyekkel és tiszta magas hangokkal. 
Ez a 130 mm átmérőjű, dupla kónuszos hangszórópár minden autóhifi rendszerben megállja a helyét, hiszen 2 x 50 W maximális teljesítményével összesen 100 wattos zenei terhelhetőséget kínál, amely élethű hangzást és kiváló dinamikát biztosít. A hangszórók 4 Ohm impedanciával rendelkeznek, így széleskörű kompatibilitást nyújtanak a legtöbb autós hangrendszerrel. A mélyközép tartományt egy cellulóz kónusz biztosítja, amely erőteljes és részletgazdag hangzást eredményez a mély és közép frekvenciákban. 
A magas frekvenciákat pedig egy PEI tölcsér sugárzó tisztítja és emeli ki, amely minden apró részletet hűen visszaad, így a zene kristálytisztán szólal meg. A SAL BK 130 frekvencia-átvitele 50 Hz-től 19.000 Hz-ig terjed, amely széles frekvenciatartományt fed le, ezáltal gazdag és teljes hangzást biztosít minden zeneszámnál. Az érzékenysége 86 dB, így a hangszóró kimagasló teljesítményt nyújt még magasabb hangerőnél is, hogy Ön mindig élvezhesse a zenei élményt.
Emelje új szintre autós zenehallgatási élményét a SAL BK 130 autóhangszóró párral, amely biztosítja a tökéletes hangminőséget minden műfajban. Vásárolja meg most, és tegye utazásait különlegesebbé ezzel a megbízható és erőteljes hangszóró párral!</t>
        </is>
      </c>
    </row>
    <row r="1304">
      <c r="A1304" s="6" t="inlineStr">
        <is>
          <t xml:space="preserve">   Hangtechnika / Autóhifi kiegészítő</t>
        </is>
      </c>
      <c r="B1304" s="6" t="inlineStr">
        <is>
          <t/>
        </is>
      </c>
      <c r="C1304" s="6" t="inlineStr">
        <is>
          <t/>
        </is>
      </c>
      <c r="D1304" s="6" t="inlineStr">
        <is>
          <t/>
        </is>
      </c>
      <c r="E1304" s="6" t="inlineStr">
        <is>
          <t/>
        </is>
      </c>
      <c r="F1304" s="6" t="inlineStr">
        <is>
          <t/>
        </is>
      </c>
      <c r="G1304" s="6" t="inlineStr">
        <is>
          <t/>
        </is>
      </c>
    </row>
    <row r="1305">
      <c r="A1305" s="3" t="inlineStr">
        <is>
          <t>HV 623</t>
        </is>
      </c>
      <c r="B1305" s="2" t="inlineStr">
        <is>
          <t>SAL HV 623 hangváltó, 3 utas, 200 W</t>
        </is>
      </c>
      <c r="C1305" s="1" t="n">
        <v>4590.0</v>
      </c>
      <c r="D1305" s="7" t="n">
        <f>HYPERLINK("https://www.somogyi.hu/product/sal-hv-623-hangvalto-3-utas-200-w-hv-623-3039","https://www.somogyi.hu/product/sal-hv-623-hangvalto-3-utas-200-w-hv-623-3039")</f>
        <v>0.0</v>
      </c>
      <c r="E1305" s="7" t="n">
        <f>HYPERLINK("https://www.somogyi.hu/data/img/product_main_images/small/03039.jpg","https://www.somogyi.hu/data/img/product_main_images/small/03039.jpg")</f>
        <v>0.0</v>
      </c>
      <c r="F1305" s="2" t="inlineStr">
        <is>
          <t>5998312733639</t>
        </is>
      </c>
      <c r="G1305" s="4" t="inlineStr">
        <is>
          <t>Kiváló hangzást szeretne elérni autójában, ahol a mély, közép és magas hangok egyaránt részletgazdagon szólalnak meg? A SAL HV 623 3 utas hangváltó a professzionális autóhifi rendszerek elengedhetetlen eleme, amely biztosítja, hogy minden hangfrekvencia a megfelelő hangszórón keresztül szólaljon meg, tökéletes harmóniában. 
Ezzel a 200 W maximális teljesítményű hangváltóval autójában minden zene valódi élményt nyújt. A SAL HV 623 hangváltó kettős keresztezési frekvenciával rendelkezik, 700 Hz és 5.000 Hz értékekkel, amelyek a mély, közép és magas hangokat külön-külön osztják ki. A 6 dB/oktáv levágási meredekség biztosítja a sima és természetes átmenetet a különböző frekvenciatartományok között, ami tiszta, torzításmentes hangzást eredményez, akár magas hangerőnél is. Ezáltal a zenei részletek élénken és tisztán hallhatók minden zenei műfajban.
Az aranyozott sorkapcsok kiváló vezetőképességet és hosszú élettartamot biztosítanak, minimalizálva a jelveszteséget és optimalizálva a csatlakozási stabilitást. Ez a megoldás biztosítja, hogy az összes hangrészlet tökéletesen eljusson a megfelelő hangszórókhoz, így a zenei élmény dinamikus és teljes lesz.
Válassza a SAL HV 623 3 utas hangváltót, és hozza ki a legtöbbet autós hangrendszeréből.</t>
        </is>
      </c>
    </row>
    <row r="1306">
      <c r="A1306" s="3" t="inlineStr">
        <is>
          <t>HVS 14</t>
        </is>
      </c>
      <c r="B1306" s="2" t="inlineStr">
        <is>
          <t>SAL HVS 14 hangváltó, 300 W, 4/8 Ohm mélysugárzókhoz</t>
        </is>
      </c>
      <c r="C1306" s="1" t="n">
        <v>7790.0</v>
      </c>
      <c r="D1306" s="7" t="n">
        <f>HYPERLINK("https://www.somogyi.hu/product/sal-hvs-14-hangvalto-300-w-4-8-ohm-melysugarzokhoz-hvs-14-4185","https://www.somogyi.hu/product/sal-hvs-14-hangvalto-300-w-4-8-ohm-melysugarzokhoz-hvs-14-4185")</f>
        <v>0.0</v>
      </c>
      <c r="E1306" s="7" t="n">
        <f>HYPERLINK("https://www.somogyi.hu/data/img/product_main_images/small/04185.jpg","https://www.somogyi.hu/data/img/product_main_images/small/04185.jpg")</f>
        <v>0.0</v>
      </c>
      <c r="F1306" s="2" t="inlineStr">
        <is>
          <t>5998312737224</t>
        </is>
      </c>
      <c r="G1306" s="4" t="inlineStr">
        <is>
          <t>Elege van az autóhifi rendszerben hallható torz hangokból, és tökéletes mélysugárzást szeretne elérni? A SAL HVS 14 hangváltó az ideális választás, ha autós rendszerében precíz és tiszta basszusra vágyik. 
Ez a 300 W teljesítményre tervezett hangváltó kiválóan alkalmas szub-basszus sugárzók számára, és 4 vagy 8 ohmos mélysugárzókhoz is tökéletes választás, így rugalmasságot biztosít a különböző rendszerekhez. A SAL HVS 14 hangváltó 120 Hz és 160 Hz vágási frekvenciával rendelkezik, amely lehetővé teszi, hogy a mélyhangok a kívánt tartományban szólaljanak meg. A 12 dB/oktáv levágási meredekség gondoskodik arról, hogy az alacsonyabb frekvenciák éles, tiszta határok mentén legyenek elválasztva a többi hangfrekvenciától, így az autós hangrendszer valóban professzionális élményt nyújt.
Ez a hangváltó kimondottan úgy lett kialakítva, hogy a szub-basszus sugárzókat támogassa, így garantálva a dinamikus, erőteljes mélyhangzást, amely tökéletesen kiegészíti az autó audiorendszerét. A 4 és 8 ohmos felhasználás lehetősége pedig biztosítja, hogy a SAL HVS 14 könnyedén integrálható legyen a legtöbb autóhifi rendszerbe, legyen szó új építésű vagy már meglévő rendszerről.
Ne hagyja, hogy a részletek hiánya elrontsa a zenei élményt! Válassza a SAL HVS 14 hangváltót, és hozza ki a legtöbbet mélysugárzójából.</t>
        </is>
      </c>
    </row>
    <row r="1307">
      <c r="A1307" s="3" t="inlineStr">
        <is>
          <t>SA 001</t>
        </is>
      </c>
      <c r="B1307" s="2" t="inlineStr">
        <is>
          <t>SAL SA 001 jelszint átalakító, sztereó, 2 x 50 W, hangerőszabályzás csatornánként</t>
        </is>
      </c>
      <c r="C1307" s="1" t="n">
        <v>5690.0</v>
      </c>
      <c r="D1307" s="7" t="n">
        <f>HYPERLINK("https://www.somogyi.hu/product/sal-sa-001-jelszint-atalakito-sztereo-2-x-50-w-hangeroszabalyzas-csatornankent-sa-001-4720","https://www.somogyi.hu/product/sal-sa-001-jelszint-atalakito-sztereo-2-x-50-w-hangeroszabalyzas-csatornankent-sa-001-4720")</f>
        <v>0.0</v>
      </c>
      <c r="E1307" s="7" t="n">
        <f>HYPERLINK("https://www.somogyi.hu/data/img/product_main_images/small/04720.jpg","https://www.somogyi.hu/data/img/product_main_images/small/04720.jpg")</f>
        <v>0.0</v>
      </c>
      <c r="F1307" s="2" t="inlineStr">
        <is>
          <t>5998312741658</t>
        </is>
      </c>
      <c r="G1307" s="4" t="inlineStr">
        <is>
          <t>Nem rendelkezik autórádiója erősítő csatlakozási lehetőséggel, de mégis szeretné kihasználni annak minden előnyét? A SAL SA 001 jelszint átalakító megoldást kínál minden olyan autórádió tulajdonosának, akik az erősítőhöz való csatlakozás élményét és teljesítményét keresik. 
Ez az átalakító lehetővé teszi az erősítő összekapcsolását olyan autórádióval, amely gyárilag nem rendelkezik külön erre a célra kialakított csatlakozással. Így Ön az erősítő hozzáadásával új szintre emelheti autós hangrendszerét, anélkül, hogy rádióját cserélnie kellene. A SAL SA 001 jelszint átalakító 2 x 50 W maximális bemeneti teljesítményt kínál, így kiválóan alkalmas nagyobb teljesítményű autóhifi rendszerekhez is. A széles, 20 Hz-től 25.000 Hz-ig terjedő frekvencia-átvitel biztosítja, hogy minden részlet pontosan és torzításmentesen legyen hallható a mély basszusoktól a tiszta magas hangokig. A 60 dB maximális csillapítási képesség gondoskodik a zavaró zajok kiszűréséről, így a zenei élmény zavartalan és minőségi marad.
A készülék kimeneti impedanciája 10 kOhm, amely a legtöbb autós erősítőhöz kompatibilitást biztosít. Az átalakító kompakt mérete (90 x 65 x 27 mm) lehetővé teszi a könnyű és diszkrét beépítést, így szinte észrevétlenül integrálható a jármű belső terében. Csatornánkénti hangerőszabályzással rendelkezik, ami lehetővé teszi az optimális hangszint beállítását minden egyes csatornán külön-külön, így Ön valóban személyre szabhatja a zenei élményt.
Hozza ki a legtöbbet autóhifi rendszeréből a SAL SA 001 jelszint átalakítóval! Rendelje meg most, és élvezze az erősítővel kibővített, gazdagabb és mélyebb hangzást minden utazás során.</t>
        </is>
      </c>
    </row>
    <row r="1308">
      <c r="A1308" s="3" t="inlineStr">
        <is>
          <t>HV 621</t>
        </is>
      </c>
      <c r="B1308" s="2" t="inlineStr">
        <is>
          <t>SAL HV 621 hangváltó, 2 utas, 200 W</t>
        </is>
      </c>
      <c r="C1308" s="1" t="n">
        <v>4290.0</v>
      </c>
      <c r="D1308" s="7" t="n">
        <f>HYPERLINK("https://www.somogyi.hu/product/sal-hv-621-hangvalto-2-utas-200-w-hv-621-3038","https://www.somogyi.hu/product/sal-hv-621-hangvalto-2-utas-200-w-hv-621-3038")</f>
        <v>0.0</v>
      </c>
      <c r="E1308" s="7" t="n">
        <f>HYPERLINK("https://www.somogyi.hu/data/img/product_main_images/small/03038.jpg","https://www.somogyi.hu/data/img/product_main_images/small/03038.jpg")</f>
        <v>0.0</v>
      </c>
      <c r="F1308" s="2" t="inlineStr">
        <is>
          <t>5998312733622</t>
        </is>
      </c>
      <c r="G1308" s="4" t="inlineStr">
        <is>
          <t>Egyensúlyra vágyik a magas és mély hangok között az autós hangrendszerében? A SAL HV 621 2 utas hangváltó a tökéletes választás, hogy autójában tiszta, éles és kiegyensúlyozott hangzást érjen el. 
Ez a 200 W teljesítményre tervezett hangváltó hatékonyan választja szét a frekvenciákat, így biztosítva, hogy a magas és mély tartományok különállóan, de harmonikusan szólaljanak meg. A SAL HV 621 hangváltó 2.500 Hz-es keresztezési frekvenciával rendelkezik, amely ideális választás minden autós hangrendszer számára. A 6 dB/oktáv levágási meredekség sima és természetes átmenetet biztosít a különböző frekvenciatartományok között, így Ön élvezheti a természetes és torzításmentes hangzást. 
Az aranyozott sorkapcsok kiváló vezetőképességet és stabil csatlakozást nyújtanak, így biztosítva, hogy a jelveszteség minimális maradjon, és a hangzás minősége maximális legyen. Ez a hangváltó professzionális megoldást kínál mindazok számára, akik autós hangrendszerükből a lehető legjobb hangzást szeretnék kihozni. A 200 W teljesítmény gondoskodik arról, hogy a hangváltó kiváló teljesítménnyel támogassa mind a magas, mind a mély hangok lejátszását, így a zene minden apró részlete tökéletesen kivehető legyen.
Ne hagyja, hogy autós hangrendszere kevesebbet nyújtson, mint amit elvárna! Válassza a SAL HV 621 2 utas hangváltót, és hozza ki a maximumot a hangélményből!</t>
        </is>
      </c>
    </row>
    <row r="1309">
      <c r="A1309" s="3" t="inlineStr">
        <is>
          <t>SA 333</t>
        </is>
      </c>
      <c r="B1309" s="2" t="inlineStr">
        <is>
          <t>SAL SA 333 autó-HiFi kábel szett, 1000 W, 80 A, 20 mm2 42 darabos</t>
        </is>
      </c>
      <c r="C1309" s="1" t="n">
        <v>14390.0</v>
      </c>
      <c r="D1309" s="7" t="n">
        <f>HYPERLINK("https://www.somogyi.hu/product/sal-sa-333-auto-hifi-kabel-szett-1000-w-80-a-20-mm2-42-darabos-sa-333-15305","https://www.somogyi.hu/product/sal-sa-333-auto-hifi-kabel-szett-1000-w-80-a-20-mm2-42-darabos-sa-333-15305")</f>
        <v>0.0</v>
      </c>
      <c r="E1309" s="7" t="n">
        <f>HYPERLINK("https://www.somogyi.hu/data/img/product_main_images/small/15305.jpg","https://www.somogyi.hu/data/img/product_main_images/small/15305.jpg")</f>
        <v>0.0</v>
      </c>
      <c r="F1309" s="2" t="inlineStr">
        <is>
          <t>5999084933395</t>
        </is>
      </c>
      <c r="G1309" s="4" t="inlineStr">
        <is>
          <t>Szeretné autójában a legjobb minőségű csatlakozásokat és maximális teljesítményt elérni hangrendszerével? A SAL SA 333 autó-HiFi kábel szett 1000 W-os, 80 A-es kapacitásával és 20 mm²-es keresztmetszetével biztosítja az autóhifi rendszer stabil tápellátását és a prémium hangminőséget. 
Ez a 42 darabos teljes kábel szett minden szükséges kiegészítőt tartalmaz ahhoz, hogy az erősítők, aktív mélysugárzók, szubládák és szubcsövek bekötése biztonságos és stabil legyen. A kábel szettben található OFC Hi-Fi sztereo audio csatlakozókábel kiváló minőségű, oxigénmentes rézből készült, amely biztosítja a hangjel tisztaságát és megbízható átvitelt nyújt a rendszer minden elemének. A prémium anyaghasználatnak és az extra hajlékony kialakításnak köszönhetően a kábelek könnyen kezelhetők és elhelyezhetők az autó belső terében, így nem kell kompromisszumot kötnie a kábelkezelés során sem.
Ez a 42 darabos komplett szett tökéletes megoldást kínál a fejegység és a tápellátás biztonságos csatlakoztatásához. A szett minden részlete átgondolt és kiváló minőségű, így a zenehallgatás zavartalan és tiszta lesz, a teljesítmény pedig minden komponens számára ideális. A szett tartalmazza mindazt, amire szüksége lehet egy professzionális autóhifi rendszer telepítéséhez és beüzemeléséhez.
Ha egy megbízható, könnyen használható és teljes megoldást keres autós hangrendszeréhez, a SAL SA 333 kábel szett az ideális választás.</t>
        </is>
      </c>
    </row>
    <row r="1310">
      <c r="A1310" s="6" t="inlineStr">
        <is>
          <t xml:space="preserve">   Hangtechnika / Rádió</t>
        </is>
      </c>
      <c r="B1310" s="6" t="inlineStr">
        <is>
          <t/>
        </is>
      </c>
      <c r="C1310" s="6" t="inlineStr">
        <is>
          <t/>
        </is>
      </c>
      <c r="D1310" s="6" t="inlineStr">
        <is>
          <t/>
        </is>
      </c>
      <c r="E1310" s="6" t="inlineStr">
        <is>
          <t/>
        </is>
      </c>
      <c r="F1310" s="6" t="inlineStr">
        <is>
          <t/>
        </is>
      </c>
      <c r="G1310" s="6" t="inlineStr">
        <is>
          <t/>
        </is>
      </c>
    </row>
    <row r="1311">
      <c r="A1311" s="3" t="inlineStr">
        <is>
          <t>RPR4LCD</t>
        </is>
      </c>
      <c r="B1311" s="2" t="inlineStr">
        <is>
          <t>SAL RPR4LCD táskarádió, AM-FM automatikus hangolás, 2x40 programhely, órakijelzés</t>
        </is>
      </c>
      <c r="C1311" s="1" t="n">
        <v>12990.0</v>
      </c>
      <c r="D1311" s="7" t="n">
        <f>HYPERLINK("https://www.somogyi.hu/product/sal-rpr4lcd-taskaradio-am-fm-automatikus-hangolas-2x40-programhely-orakijelzes-rpr4lcd-18512","https://www.somogyi.hu/product/sal-rpr4lcd-taskaradio-am-fm-automatikus-hangolas-2x40-programhely-orakijelzes-rpr4lcd-18512")</f>
        <v>0.0</v>
      </c>
      <c r="E1311" s="7" t="n">
        <f>HYPERLINK("https://www.somogyi.hu/data/img/product_main_images/small/18512.jpg","https://www.somogyi.hu/data/img/product_main_images/small/18512.jpg")</f>
        <v>0.0</v>
      </c>
      <c r="F1311" s="2" t="inlineStr">
        <is>
          <t>5999084965303</t>
        </is>
      </c>
      <c r="G1311" s="4" t="inlineStr">
        <is>
          <t>Szeretne egy kompakt és sokoldalú rádiót, ami szinte minden helyzetben megállja a helyét? A SAL RPR4LCD táskarádió ideális választás mindazok számára, akik élvezni szeretnék a zenét és híreket bárhol, bármikor. 
Az AM-FM rádió automatikus hangolással és 2x40 programhellyel rendelkezik, így kedvenc állomásait mindig gyorsan és egyszerűen elérheti. A gyorsgombok lehetővé teszik a kedvenc állomások azonnali elérését, míg a stereo hangzás fejhallgatóval (nem tartozék) garantálja a kiváló hangminőséget. A 3.5mm fejhallgató csatlakozóval bármilyen szabványos fejhallgatót csatlakoztathat. A nagy méretű órakijelzés mindig jól látható, és az automatikus időzített kikapcsolás funkció biztosítja, hogy soha ne feledkezzen meg a kikapcsolásról.
Az ébresztés bip-bip hanggal és az ébresztés ismétlés (szundi mód) funkciók segítenek, hogy reggelente könnyedén ébredjen. Az automatikus kijelző háttérvilágítás és a gyermekzár (billentyűzár) további kényelmet és biztonságot nyújtanak. A SAL RPR4LCD táskarádió elemes tápellátással (4xAA elem, nem tartozék) és USB-C tápellátással is működik (vezeték és adapter nem tartozék). Az ajánlott adapter/csatlakozókábelek a SA 24USB, SA 50USB és USBC 1 típusok. A rádió kompakt méreteinek köszönhetően (184 x 113 x 58 mm) könnyedén hordozható.
Ne habozzon, szerezze be most ezt a praktikus és sokoldalú táskarádiót, és élvezze kedvenc zenéit és műsorait bárhol, bármikor! Vásároljon most!</t>
        </is>
      </c>
    </row>
    <row r="1312">
      <c r="A1312" s="3" t="inlineStr">
        <is>
          <t>RPR 3LCD</t>
        </is>
      </c>
      <c r="B1312" s="2" t="inlineStr">
        <is>
          <t>SAL RPR 3LCD táskarádió, AC/DC, AM_FM_SW digitális rádió, ébresztő, AUX, 60 tárolható állomás</t>
        </is>
      </c>
      <c r="C1312" s="1" t="n">
        <v>17390.0</v>
      </c>
      <c r="D1312" s="7" t="n">
        <f>HYPERLINK("https://www.somogyi.hu/product/sal-rpr-3lcd-taskaradio-ac-dc-am-fm-sw-digitalis-radio-ebreszto-aux-60-tarolhato-allomas-rpr-3lcd-16184","https://www.somogyi.hu/product/sal-rpr-3lcd-taskaradio-ac-dc-am-fm-sw-digitalis-radio-ebreszto-aux-60-tarolhato-allomas-rpr-3lcd-16184")</f>
        <v>0.0</v>
      </c>
      <c r="E1312" s="7" t="n">
        <f>HYPERLINK("https://www.somogyi.hu/data/img/product_main_images/small/16184.jpg","https://www.somogyi.hu/data/img/product_main_images/small/16184.jpg")</f>
        <v>0.0</v>
      </c>
      <c r="F1312" s="2" t="inlineStr">
        <is>
          <t>5999084942168</t>
        </is>
      </c>
      <c r="G1312" s="4" t="inlineStr">
        <is>
          <t>Olyan rádiót keres, amely egyszerre hordozható, megbízható és minden helyzetben tökéletes rádiózási élményt nyújt? A SAL RPR 3LCD táskarádió az ideális választás mindenki számára, aki egy sokoldalú, világvevő készüléket keres, amely az AM, FM és SW sávokkal globális vételi lehetőségeket kínál. 
Ez a digitális rádió az egész világ rádióállomásait elérhetővé teszi, akár otthonában, akár utazás közben használja. A SAL RPR 3LCD megnövelt érzékenységének köszönhetően könnyedén foghatóak a gyengébb jelű adók is, így mindig tiszta hangzást nyújt. A 60 tárolható állomás funkcióval bármikor elérheti kedvenc rádióállomásait, és a gyorsgombokkal kényelmesen váltogathat közöttük. Az AUX bemenet lehetővé teszi, hogy külső eszközöket is csatlakoztasson, bővítve ezzel a tartalomforrásokat. A kék háttérvilágítású LCD óra és a könnyen kezelhető felhasználói felület tovább növeli a készülék praktikusságát és elegáns megjelenését.
Az ébresztő funkcióval felszerelt rádió reggelente rádióműsorral vagy bip-bip hangjelzéssel ébreszti, és a 10–90 perces elalvási időzítő lehetőséget biztosít arra, hogy nyugodtan pihenjen el kedvenc állomásaira hangolva. Az ébresztésismétlés (5 perc) funkció révén kényelmesen ébredhet, míg a lezárható billentyűzet biztosítja, hogy a beállítások véletlenül se változzanak meg. Fejhallgatóval sztereó hangzás érhető el, ami különleges élményt nyújt a rádiózásban. A rádió hálózati tápkábellel is üzemeltethető, vagy három darab 1,5 V-os D elemmel (nem tartozék), így bármikor használható hordozható üzemmódban. Kompakt méretével (235 x 120 x 50 mm) és könnyű súlyával (595 g) ideális utazásokhoz vagy mindennapi használatra.
Tegye könnyebbé és élvezetesebbé a rádiózást a SAL RPR 3LCD táskarádióval!</t>
        </is>
      </c>
    </row>
    <row r="1313">
      <c r="A1313" s="3" t="inlineStr">
        <is>
          <t>RPC5</t>
        </is>
      </c>
      <c r="B1313" s="2" t="inlineStr">
        <is>
          <t>SAL RPC5 zsebrádió, 2-sávos, AM-FM, hangolásjelző LED, fülhallgató csatlakozó</t>
        </is>
      </c>
      <c r="C1313" s="1" t="n">
        <v>4890.0</v>
      </c>
      <c r="D1313" s="7" t="n">
        <f>HYPERLINK("https://www.somogyi.hu/product/sal-rpc5-zsebradio-2-savos-am-fm-hangolasjelzo-led-fulhallgato-csatlakozo-rpc5-18846","https://www.somogyi.hu/product/sal-rpc5-zsebradio-2-savos-am-fm-hangolasjelzo-led-fulhallgato-csatlakozo-rpc5-18846")</f>
        <v>0.0</v>
      </c>
      <c r="E1313" s="7" t="n">
        <f>HYPERLINK("https://www.somogyi.hu/data/img/product_main_images/small/18846.jpg","https://www.somogyi.hu/data/img/product_main_images/small/18846.jpg")</f>
        <v>0.0</v>
      </c>
      <c r="F1313" s="2" t="inlineStr">
        <is>
          <t>5999084968526</t>
        </is>
      </c>
      <c r="G1313" s="4" t="inlineStr">
        <is>
          <t>Elege van abból, hogy lemarad kedvenc rádióműsorairól útközben? A SAL RPC5 zsebrádió kiváló választás mindazoknak, akik útközben is szeretnék élvezni a rádióhallgatás élményét. 
Ez a két sávos AM-FM zsebrádió rendkívül kompakt, így bárhová magával viheti. A készülék nagyérzékenységű vétellel rendelkezik, így mindig tiszta és zavartalan hangzást biztosít. A LED visszajelző segít a pontos hangolásban, miközben a kiemelt hangoló forgatógomb egyszerűvé és kényelmessé teszi a csatornaváltást.
A SAL RPC5 zsebrádió 3,5 mm-es fejhallgató aljzattal is rendelkezik, így bárhol és bármikor élvezheti a rádiózást anélkül, hogy másokat zavarna. A csuklópánt segítségével könnyen hordozható, így mindig kéznél lehet. A rádió tápellátását 2 darab AA (1.5V) elem biztosítja (nem tartozék), így nincs szükség hálózati csatlakozásra, és hosszú ideig használhatja egyetlen elemkészlettel.
Ne habozzon, szerezze be a SAL RPC5 zsebrádiót, és élvezze kedvenc műsorait bárhol, bármikor!</t>
        </is>
      </c>
    </row>
    <row r="1314">
      <c r="A1314" s="3" t="inlineStr">
        <is>
          <t>INR 5000/BK</t>
        </is>
      </c>
      <c r="B1314" s="2" t="inlineStr">
        <is>
          <t>SAL INR 5000/BK internetrádió, 5 in 1, 2x5 W, Bass reflex, világrádió, FM RDS, BT, AUX, Média Center hálózati zenetár, EQ</t>
        </is>
      </c>
      <c r="C1314" s="1" t="n">
        <v>56690.0</v>
      </c>
      <c r="D1314" s="7" t="n">
        <f>HYPERLINK("https://www.somogyi.hu/product/sal-inr-5000-bk-internetradio-5-in-1-2x5-w-bass-reflex-vilagradio-fm-rds-bt-aux-media-center-halozati-zenetar-eq-inr-5000-bk-17033","https://www.somogyi.hu/product/sal-inr-5000-bk-internetradio-5-in-1-2x5-w-bass-reflex-vilagradio-fm-rds-bt-aux-media-center-halozati-zenetar-eq-inr-5000-bk-17033")</f>
        <v>0.0</v>
      </c>
      <c r="E1314" s="7" t="n">
        <f>HYPERLINK("https://www.somogyi.hu/data/img/product_main_images/small/17033.jpg","https://www.somogyi.hu/data/img/product_main_images/small/17033.jpg")</f>
        <v>0.0</v>
      </c>
      <c r="F1314" s="2" t="inlineStr">
        <is>
          <t>5999084950651</t>
        </is>
      </c>
      <c r="G1314" s="4" t="inlineStr">
        <is>
          <t>Olyan rádiót keres, amely nemcsak a helyi adókat, hanem a világ összes zenéjét és műsorát elhozza otthonába? A SAL INR 5000/BK internetrádió valódi multimédiás élményt nyújt, amely minden igényt kielégít. 
Ez a 5 az 1-ben sztereó internetrádió internet-világrádió, DAB+/DAB digitális rádió, FM RDS analóg rádió, Bluetooth médialejátszó és hálózati zenetár egyben, így Ön mindig megtalálhatja az ideális műsort vagy zenét, bármi legyen is a hangulata. A SAL INR 5000/BK több mint 23.000 rádióállomáshoz biztosít hozzáférést a világ minden tájáról, amelyek földrészek és országok szerint válogathatók, így kedvenc műsorai mindig elérhetők. A készülék DAB+/DAB digitális rádiókapcsolattal is rendelkezik, amely kristálytiszta hangzást nyújt, míg az FM RDS funkció az analóg adókat hozza el. A 6,1 cm-es színes TFT LCD kijelző könnyen kezelhető, a vezérlési lehetőségeket pedig PC-ről vagy mobilról is elérheti. Emellett a szabályozható fényerő és az óra kettős ébresztés, valamint elalvásidőzítő funkcióval is bővült, hogy minden igényhez alkalmazkodjon.
A 2 x 5 W teljesítményű bass-reflex hangszórók dinamikus HiFi hangzást nyújtanak, amely az EQ stílusokkal, 3D és egyéni EQ beállításokkal tovább finomítható. A vezeték nélküli Bluetooth kapcsolat lehetővé teszi, hogy mobileszközéről is zenét játsszon le, és az AUX bemenetnek köszönhetően akár multimédiás eszközök is csatlakoztathatók. A LAN Ethernet RJ45 és WiFi csatlakozási lehetőség révén bármely hálózathoz könnyedén kapcsolódik, míg a UPnP/DLNA kompatibilis fájlmegosztás lehetővé teszi a zökkenőmentes adatmegosztást. A készülékhez tartozik egy praktikus távirányító, valamint a csatlakoztatásról és áramellátásról a mellékelt hálózati adapter gondoskodik. Mérete 295 x 120 x 160 mm, súlya mindössze 1,6 kg, így tökéletesen elhelyezhető otthonában.
Ne érje be kevesebbel, mint a végtelen zenei és rádiózási lehetőségekkel! Válassza a SAL INR 5000/BK internetrádiót, és élvezze a világ minden műsorát egyetlen eszközön, könnyedén és kompromisszumok nélkül.</t>
        </is>
      </c>
    </row>
    <row r="1315">
      <c r="A1315" s="3" t="inlineStr">
        <is>
          <t>RPC 4</t>
        </is>
      </c>
      <c r="B1315" s="2" t="inlineStr">
        <is>
          <t>SAL RPC 4 zsebrádió, 2 sávos AM-FM rádió, nagyérzékenységű vétel</t>
        </is>
      </c>
      <c r="C1315" s="1" t="n">
        <v>4790.0</v>
      </c>
      <c r="D1315" s="7" t="n">
        <f>HYPERLINK("https://www.somogyi.hu/product/sal-rpc-4-zsebradio-2-savos-am-fm-radio-nagyerzekenysegu-vetel-rpc-4-17091","https://www.somogyi.hu/product/sal-rpc-4-zsebradio-2-savos-am-fm-radio-nagyerzekenysegu-vetel-rpc-4-17091")</f>
        <v>0.0</v>
      </c>
      <c r="E1315" s="7" t="n">
        <f>HYPERLINK("https://www.somogyi.hu/data/img/product_main_images/small/17091.jpg","https://www.somogyi.hu/data/img/product_main_images/small/17091.jpg")</f>
        <v>0.0</v>
      </c>
      <c r="F1315" s="2" t="inlineStr">
        <is>
          <t>5999084951238</t>
        </is>
      </c>
      <c r="G1315" s="4" t="inlineStr">
        <is>
          <t>Szeretne egy egyszerűen kezelhető és hordozható rádiót, amely kiváló vételi érzékenységet biztosít? A SAL RPC 4 zsebrádió tökéletes választás azok számára, akik szeretik a hagyományos rádiózást akár utazás közben is. 
Ez a kompakt, 2 sávos AM-FM rádió lehetővé teszi, hogy bárhol élvezze a legjobb rádióállomások műsorait, legyen szó hírközlésekről, sportközvetítésekről vagy zenéről.
A készülék nagyérzékenységű vétellel rendelkezik, ami biztosítja, hogy a leggyengébb jelek is tisztán szólaljanak meg, így ideális akár beltéri, akár kültéri használatra. A zsebrádió LED visszajelzője könnyen áttekinthető, egyszerű működtetést biztosít, míg a 3,5 mm-es fejhallgató csatlakozóval privát módon is hallgathatja a kedvenc adásait. Az AUX bemenet lehetővé teszi, hogy külső eszközöket, például MP3-lejátszót is csatlakoztasson, így mindig változatos tartalmat élvezhet.
A SAL RPC 4 rádió tápellátását 2 x AA (1,5 V) elem biztosítja, amely könnyen cserélhető, így a készülék hosszú üzemidőt biztosít, és bármikor készen áll a használatra. Kompakt méretének (69 x 118 x 30 mm) köszönhetően könnyen elfér a zsebben vagy táskában, így bárhová magával viheti, és mindig kéznél lehet.
Válassza a SAL RPC 4 zsebrádiót, hogy bárhol elérhető legyen az AM és FM frekvenciák teljes választéka!</t>
        </is>
      </c>
    </row>
    <row r="1316">
      <c r="A1316" s="3" t="inlineStr">
        <is>
          <t>RPH 1</t>
        </is>
      </c>
      <c r="B1316" s="2" t="inlineStr">
        <is>
          <t>SAL RPH 1 napelemes rádió és multimédia lejátszó, hibrid töltés, 3 sávos AM-FM-SW rádió, USB/MicroSD, ~11 óra üzemidő</t>
        </is>
      </c>
      <c r="C1316" s="1" t="n">
        <v>7990.0</v>
      </c>
      <c r="D1316" s="7" t="n">
        <f>HYPERLINK("https://www.somogyi.hu/product/sal-rph-1-napelemes-radio-es-multimedia-lejatszo-hibrid-toltes-3-savos-am-fm-sw-radio-usb-microsd-11-ora-uzemido-rph-1-18253","https://www.somogyi.hu/product/sal-rph-1-napelemes-radio-es-multimedia-lejatszo-hibrid-toltes-3-savos-am-fm-sw-radio-usb-microsd-11-ora-uzemido-rph-1-18253")</f>
        <v>0.0</v>
      </c>
      <c r="E1316" s="7" t="n">
        <f>HYPERLINK("https://www.somogyi.hu/data/img/product_main_images/small/18253.jpg","https://www.somogyi.hu/data/img/product_main_images/small/18253.jpg")</f>
        <v>0.0</v>
      </c>
      <c r="F1316" s="2" t="inlineStr">
        <is>
          <t>5999084962753</t>
        </is>
      </c>
      <c r="G1316" s="4" t="inlineStr">
        <is>
          <t>Elgondolkodott már azon, milyen praktikus lenne egy olyan rádió és multimédia lejátszó, amely nem igényel elemet, és bárhol feltölthető? A SAL RPH 1 napelemes rádió és multimédia lejátszó tökéletes választás azok számára, akik szeretnék kihasználni a napenergia előnyeit, miközben zenehallgatás vagy rádiózás közben a természetben töltik az idejüket, vagy éppen vészhelyzetben maradnak kapcsolatban a világgal.
Ez a készülék nem igényel elemeket, hiszen hibrid töltési lehetőségekkel rendelkezik: tölthető napelemmel vagy USB kábellel, így soha nem kell aggódnia az energiaellátás miatt. A cserélhető 18650-es akkumulátor még nagyobb rugalmasságot biztosít, így mindig kéznél van egy megbízható energiaforrás. A SAL RPH 1 három sávos rádióként is használható, amely AM, FM és SW (rövidhullámú) sávokat támogat, így mindig elérheti kedvenc rádióállomásait, vagy fontos híreket hallgathat bárhol a világon. A vezeték nélküli Bluetooth TWS kapcsolat lehetővé teszi, hogy okostelefonról vagy más Bluetooth-kompatibilis eszközről közvetlenül zenét játsszon le. Emellett az USB és microSD bemenetek segítségével zenelejátszás is megoldható, így mindig elérheti kedvenc tartalmait.
A rádió 3,5 mm-es jack aljzattal rendelkezik, így fül- vagy fejhallgatót is csatlakoztathat, ha diszkrétebb zenehallgatásra van szükség. A beépített töltésjelző LED folyamatosan informálja Önt az akkumulátor állapotáról, és a készülék 11 órás üzemideje hosszú távú használatot biztosít egyetlen töltéssel, míg a töltési idő körülbelül 2,5 óra. A kompakt méret (140 x 77 x 50 mm) és könnyű súly (270 g) rendkívül hordozhatóvá teszi a rádiót, így akár túrák, kirándulások vagy kempingezések során is egyszerűen magával viheti. A tartozék USB töltőkábel és csuklópánt további kényelmet nyújtanak, míg opcionálisan hálózati töltőt is vásárolhat hozzá (SA 24USB).
Ne hagyja, hogy az energiaforrás hiánya megakadályozza, hogy élvezze kedvenc zenéit vagy kapcsolatban maradjon a világgal! Rendelje meg most a SAL RPH 1 napelemes rádiót és multimédia lejátszót, és élvezze a szabadságot, amelyet a környezetbarát, praktikus töltési megoldások nyújtanak!</t>
        </is>
      </c>
    </row>
    <row r="1317">
      <c r="A1317" s="3" t="inlineStr">
        <is>
          <t>RPH 2</t>
        </is>
      </c>
      <c r="B1317" s="2" t="inlineStr">
        <is>
          <t>SAL RPH 2 multifunkciós napelemes rádió, hibrid töltés, 3 sávos AM-FM-SW rádió, BT, ~40 óra üzemidő</t>
        </is>
      </c>
      <c r="C1317" s="1" t="n">
        <v>23490.0</v>
      </c>
      <c r="D1317" s="7" t="n">
        <f>HYPERLINK("https://www.somogyi.hu/product/sal-rph-2-multifunkcios-napelemes-radio-hibrid-toltes-3-savos-am-fm-sw-radio-bt-40-ora-uzemido-rph-2-18259","https://www.somogyi.hu/product/sal-rph-2-multifunkcios-napelemes-radio-hibrid-toltes-3-savos-am-fm-sw-radio-bt-40-ora-uzemido-rph-2-18259")</f>
        <v>0.0</v>
      </c>
      <c r="E1317" s="7" t="n">
        <f>HYPERLINK("https://www.somogyi.hu/data/img/product_main_images/small/18259.jpg","https://www.somogyi.hu/data/img/product_main_images/small/18259.jpg")</f>
        <v>0.0</v>
      </c>
      <c r="F1317" s="2" t="inlineStr">
        <is>
          <t>5999084962814</t>
        </is>
      </c>
      <c r="G1317" s="4" t="inlineStr">
        <is>
          <t>Szeretne egy olyan eszközt, amely segítségével bármikor hallgathat híreket, világíthat és töltheti mobilkészülékét, még akkor is, ha nincs áramforrás a közelben? A SAL RPH 2 multifunkciós napelemes rádió tökéletes megoldást kínál erre, hiszen egy igazán sokoldalú, energiatakarékos és megbízható készülék, amely bármilyen vészhelyzetben vagy szabadtéri tevékenység során hasznos lehet.
Ez a rádió valóban nem igényel elemet, hiszen hibrid töltési lehetőségekkel rendelkezik: tölthető napelemmel, forgatókarral, vagy akár USB kábellel is, így mindig biztosított az energiaellátás. Ezzel a tulajdonságával igazi „világvége” rádióként is emlegetik, hiszen bármilyen körülmények között használható. A rádió AM, FM és WB (időjárás szolgáltatás egyes országokban) sávokat támogat, így a legfontosabb híreket és információkat bárhol hallgathatja, miközben a hangolásjelző segít megtalálni a legjobb vételt. 
A magas minőségű hangszóró biztosítja, hogy a hang tiszta és érthető legyen. Ha szükséges, akár fül- vagy fejhallgatót is csatlakoztathat a 3,5 mm-es jack aljzathoz a diszkrétebb használat érdekében. A SAL RPH 2 nem csak rádió, hanem több funkciót is kínál: rendelkezik hidegfényű reflektorral és melegfényű olvasólámpával, amelyek ideálisak sötétben történő használathoz, legyen szó olvasásról vagy tábori világításról. Ezen kívül vezeték nélküli Bluetooth kapcsolat segítségével egyszerűen csatlakozhat okostelefonjához, és lejátszhatja kedvenc zenéit USB-ről vagy microSD kártyáról is.
Az SOS sziréna funkció egy különleges biztonsági elem, amely pánikhelyzetben azonnali riasztást tesz lehetővé. A beépített 4.000 mAh kapacitású akkumulátor hosszú üzemidőt garantál: USB-ről körülbelül 3 órás töltési idővel akár 40 órán keresztül is hallgathat rádiót. A rádió USB töltő kimenettel is rendelkezik, így vészhelyzet esetén akár telefonját is feltöltheti, amikor nincs elérhető áramforrás. A készülék kompakt mérete (160 x 80 x 66 mm) és könnyű súlya miatt bárhová magával viheti, legyen szó túrázásról, kempingezésről vagy vészhelyzeti készenlétről.
Ne hagyja, hogy a körülmények korlátozzák a kapcsolattartást és az információkhoz jutást! Rendelje meg most a SAL RPH 2 multifunkciós napelemes rádiót, és legyen felkészült minden helyzetre, legyen szó szórakozásról vagy vészhelyzetről!</t>
        </is>
      </c>
    </row>
    <row r="1318">
      <c r="A1318" s="3" t="inlineStr">
        <is>
          <t>RPR 8</t>
        </is>
      </c>
      <c r="B1318" s="2" t="inlineStr">
        <is>
          <t>SAL RPR 8 táskarádió, AC/DC, 3 sávos AM-FM-SW rádió, AUX</t>
        </is>
      </c>
      <c r="C1318" s="1" t="n">
        <v>10190.0</v>
      </c>
      <c r="D1318" s="7" t="n">
        <f>HYPERLINK("https://www.somogyi.hu/product/sal-rpr-8-taskaradio-ac-dc-3-savos-am-fm-sw-radio-aux-rpr-8-18252","https://www.somogyi.hu/product/sal-rpr-8-taskaradio-ac-dc-3-savos-am-fm-sw-radio-aux-rpr-8-18252")</f>
        <v>0.0</v>
      </c>
      <c r="E1318" s="7" t="n">
        <f>HYPERLINK("https://www.somogyi.hu/data/img/product_main_images/small/18252.jpg","https://www.somogyi.hu/data/img/product_main_images/small/18252.jpg")</f>
        <v>0.0</v>
      </c>
      <c r="F1318" s="2" t="inlineStr">
        <is>
          <t>5999084962746</t>
        </is>
      </c>
      <c r="G1318" s="4" t="inlineStr">
        <is>
          <t>Olyan hordozható rádiót keres, amely bárhová elkíséri, és kiváló vételi képességekkel rendelkezik? A SAL RPR 8 táskarádió tökéletes választás, ha Ön számára fontos a jó minőségű rádióhallgatás és a kiváló vételi érzékenység. 
Ez a 3 sávos, AM-FM-SW rádió egyszerűen kezelhető, nagy hangerővel rendelkezik, így mind beltéri, mind kültéri használatra ideális.
Ez a táskarádió a három rádiósáv – AM, FM és SW – széles választékát kínálja, így Ön minden környezetben megtalálhatja kedvenc állomásait. A SAL RPR 8 kiválóan érzékeny rádióvételt biztosít, ami garantálja, hogy gyenge jel mellett is tiszta, zavartalan hangzást érjen el. Az AUX bemenet lehetővé teszi, hogy külső eszközöket, például telefont vagy MP3-lejátszót is csatlakoztasson, így bármikor változatosan élvezheti a zenét.
Kompakt és masszív kialakításának köszönhetően a SAL RPR 8 táskarádió könnyen hordozható, így ideális utazáshoz vagy szabadtéri programokhoz. A készülék hálózatról, elemekkel vagy DC 5V külső táplálással is üzemeltethető, ami nagy rugalmasságot biztosít. A 3.5 mm-es fejhallgató csatlakozó révén Ön privát módon is élvezheti a műsorokat, ha csendes környezetben kíván rádiót hallgatni.
A táskarádióhoz tartozék a hálózati csatlakozókábel, de a 2xD/LR20 elem és a DC 5V külső táplálás nem tartozék, így ezek külön megvásárolhatók. Ez a rádió minden korosztály számára ideális választás, egyszerű kezelhetősége és megbízható teljesítménye révén.
Fedezze fel a SAL RPR 8 táskarádióval a szabadságot, hogy bárhol és bármikor kedvenc rádióállomásait hallgathassa!</t>
        </is>
      </c>
    </row>
    <row r="1319">
      <c r="A1319" s="3" t="inlineStr">
        <is>
          <t>INR 3000</t>
        </is>
      </c>
      <c r="B1319" s="2" t="inlineStr">
        <is>
          <t>SAL INR 3000 internetrádió, 4 in 1, 2 W hangszóró, világrádió, FM RDS, BT, Média Center hálózati zenetár, EQ</t>
        </is>
      </c>
      <c r="C1319" s="1" t="n">
        <v>28790.0</v>
      </c>
      <c r="D1319" s="7" t="n">
        <f>HYPERLINK("https://www.somogyi.hu/product/sal-inr-3000-internetradio-4-in-1-2-w-hangszoro-vilagradio-fm-rds-bt-media-center-halozati-zenetar-eq-inr-3000-17521","https://www.somogyi.hu/product/sal-inr-3000-internetradio-4-in-1-2-w-hangszoro-vilagradio-fm-rds-bt-media-center-halozati-zenetar-eq-inr-3000-17521")</f>
        <v>0.0</v>
      </c>
      <c r="E1319" s="7" t="n">
        <f>HYPERLINK("https://www.somogyi.hu/data/img/product_main_images/small/17521.jpg","https://www.somogyi.hu/data/img/product_main_images/small/17521.jpg")</f>
        <v>0.0</v>
      </c>
      <c r="F1319" s="2" t="inlineStr">
        <is>
          <t>5999084955434</t>
        </is>
      </c>
      <c r="G1319" s="4" t="inlineStr">
        <is>
          <t>Olyan rádióra vágyik, amely a világ minden tájáról elhozza a kedvenc műsorait és zenéit? A SAL INR 3000 internetrádió 4 az 1-ben multimédiás élményt kínál, amely több ezer rádióállomást és számos zenei műfajt ér el bárhonnan, bármikor. 
Ez a hordozható készülék internetes világrádió, FM RDS analóg rádió, Bluetooth médialejátszó és hálózati zenetár egyben, így mindig megtalálhatja a hangulatához leginkább illő műsorokat és zenéket. A SAL INR 3000 több mint 23.000 rádióállomást kínál földrészek és országok szerint rendezve, így legyen szó mesékről, kabarékról, sportműsorokról vagy bármilyen zenei stílusról, biztosan megtalálja a kedvenc tartalmait. 
Az internetkapcsolaton keresztül elérhető állomások kristálytiszta hangzást biztosítanak, és ha kedvenc adója nincs elérhető a környékén, WiFi kapcsolaton keresztül bármikor hallgathatja azt.
A készülék 6,1 cm-es színes TFT LCD képernyője könnyen kezelhető, amelyen a 3D és egyéni EQ beállításokkal testre szabhatja a hangzást, és az elalvás időzítő kényelmessé teszi az esti hallgatást. A Bluetooth kapcsolat lehetővé teszi, hogy vezeték nélkül csatlakozzon telefonjához vagy más eszközéhez, míg a UPnP/DLNA kompatibilitás zökkenőmentes fájlmegosztást tesz lehetővé.
A SAL INR 3000 beépített 2 Wattos hangszóróval rendelkezik, amely tiszta, zenei hangzású élményt nyújt, ugyanakkor fejhallgató csatlakozón keresztül is hallgathatja a műsorokat. Az eszköz kompatibilis aktív hangszórókkal és erősítőkkel is, így HiFi rendszerébe is könnyedén integrálható. A beépített akkumulátor 3,5 órás töltési idővel akár 11 órás üzemidőt biztosít, így mindig élvezheti a zenét, bárhol is legyen.
Tegye teljessé zenei és rádiós élményeit a SAL INR 3000 internetrádióval! Rendelje meg most, és fedezze fel a határtalan rádiózási lehetőségeket, amelyek bárhol és bármikor elérhetőek Ön számára!</t>
        </is>
      </c>
    </row>
    <row r="1320">
      <c r="A1320" s="6" t="inlineStr">
        <is>
          <t xml:space="preserve">   Hangtechnika / Hangdoboz</t>
        </is>
      </c>
      <c r="B1320" s="6" t="inlineStr">
        <is>
          <t/>
        </is>
      </c>
      <c r="C1320" s="6" t="inlineStr">
        <is>
          <t/>
        </is>
      </c>
      <c r="D1320" s="6" t="inlineStr">
        <is>
          <t/>
        </is>
      </c>
      <c r="E1320" s="6" t="inlineStr">
        <is>
          <t/>
        </is>
      </c>
      <c r="F1320" s="6" t="inlineStr">
        <is>
          <t/>
        </is>
      </c>
      <c r="G1320" s="6" t="inlineStr">
        <is>
          <t/>
        </is>
      </c>
    </row>
    <row r="1321">
      <c r="A1321" s="3" t="inlineStr">
        <is>
          <t>BXB 10050P</t>
        </is>
      </c>
      <c r="B1321" s="2" t="inlineStr">
        <is>
          <t>SAL BXB 10050P sztereó hangdoboz pár, 2x60 W / 8 Ohm, 3 utas Bass reflex, eltávolítható tartókonzol</t>
        </is>
      </c>
      <c r="C1321" s="1" t="n">
        <v>20890.0</v>
      </c>
      <c r="D1321" s="7" t="n">
        <f>HYPERLINK("https://www.somogyi.hu/product/sal-bxb-10050p-sztereo-hangdoboz-par-2x60-w-8-ohm-3-utas-bass-reflex-eltavolithato-tartokonzol-bxb-10050p-4539","https://www.somogyi.hu/product/sal-bxb-10050p-sztereo-hangdoboz-par-2x60-w-8-ohm-3-utas-bass-reflex-eltavolithato-tartokonzol-bxb-10050p-4539")</f>
        <v>0.0</v>
      </c>
      <c r="E1321" s="7" t="n">
        <f>HYPERLINK("https://www.somogyi.hu/data/img/product_main_images/small/04539.jpg","https://www.somogyi.hu/data/img/product_main_images/small/04539.jpg")</f>
        <v>0.0</v>
      </c>
      <c r="F1321" s="2" t="inlineStr">
        <is>
          <t>5998312739976</t>
        </is>
      </c>
      <c r="G1321" s="4" t="inlineStr">
        <is>
          <t>Olyan hangszóróra vágyik, amely rugalmasan alkalmazható otthon, autóban vagy üzlethelyiségben is, miközben kiváló minőségű hangzást biztosít? A SAL BXB 10050P sztereó hangdoboz pár ideális választás, ha nagy teljesítményű, megbízható és sokoldalúan elhelyezhető hangszórót keres. 
Ez a 3-utas, bass-reflex Hi-Fi hangdoboz pár 120 W terhelhetőséggel (2 x 60 W / 8 Ohm) biztosít erőteljes, részletgazdag hangzást, így bármilyen környezetben tökéletesen megállja a helyét. A hangdoboz merevített ABS műanyagból készült, amely tartósságot és ellenállóságot biztosít. A fém védőrács megóvja a hangszórót a külső behatásoktól, miközben letisztult, modern megjelenést kölcsönöz neki. A kialakítás lehetővé teszi, hogy álló vagy fekvő helyzetben is használható legyen, a billenthető és körbeforgatható tartókonzol pedig biztosítja, hogy a hangdobozokat falra vagy mennyezetre szerelve is tökéletesen irányítható legyen. 
A konzolt eltávolítva bútordarabra helyezve is esztétikusan illeszkedik bármely enteriőrbe. A SAL BXB 10050P akár járművekben vagy üzlethelyiségekben is használható, és közvetlenül csatlakoztatható autórádióhoz vagy más 4-8 Ohm kimenetű eszközhöz. A süllyesztett, csíptetős vezetékcsatlakozók megkönnyítik a beszerelést és biztosítják a stabil kapcsolatot. Mérete mindössze 140 x 210 x 120 mm, súlya pedig 960 g, így könnyen beépíthető vagy áthelyezhető igény szerint.
Emelje új szintre a zenei élményt otthonában, járművében vagy üzletében a SAL BXB 10050P sztereó hangdoboz pár segítségével!</t>
        </is>
      </c>
    </row>
    <row r="1322">
      <c r="A1322" s="3" t="inlineStr">
        <is>
          <t>BXB 100/8</t>
        </is>
      </c>
      <c r="B1322" s="2" t="inlineStr">
        <is>
          <t>SAL BXB 100/8, 2 utas hangdoboz, 2 in 1, 60 W / 8 Ohm, 40 W / 100 V, Bass reflex, billenthető, forgatható</t>
        </is>
      </c>
      <c r="C1322" s="1" t="n">
        <v>28490.0</v>
      </c>
      <c r="D1322" s="7" t="n">
        <f>HYPERLINK("https://www.somogyi.hu/product/sal-bxb-100-8-2-utas-hangdoboz-2-in-1-60-w-8-ohm-40-w-100-v-bass-reflex-billentheto-forgathato-bxb-100-8-17126","https://www.somogyi.hu/product/sal-bxb-100-8-2-utas-hangdoboz-2-in-1-60-w-8-ohm-40-w-100-v-bass-reflex-billentheto-forgathato-bxb-100-8-17126")</f>
        <v>0.0</v>
      </c>
      <c r="E1322" s="7" t="n">
        <f>HYPERLINK("https://www.somogyi.hu/data/img/product_main_images/small/17126.jpg","https://www.somogyi.hu/data/img/product_main_images/small/17126.jpg")</f>
        <v>0.0</v>
      </c>
      <c r="F1322" s="2" t="inlineStr">
        <is>
          <t>5999084951580</t>
        </is>
      </c>
      <c r="G1322" s="4" t="inlineStr">
        <is>
          <t>Szüksége lenne egy olyan hangszóróra, amely egyaránt alkalmas hagyományos és professzionális rendszerekhez? A SAL BXB 100/8 hangdoboz a 2in1 kialakításával ideális választás, ha flexibilis megoldásra vágyik otthoni és professzionális hangrendszerekben is. 
Ez a 2-utas bass-reflex Hi-Fi hangdoboz kiváló minőségű, gazdag hangzást nyújt, és sokoldalúan alkalmazható különféle környezetekben. A SAL BXB 100/8 csatlakoztatható 4-8 Ohm kimenetű berendezésekhez, de ugyanakkor 70/100/110 V~ hangrendszerekhez is illeszkedik, így ideális választás otthoni használatra és professzionális hangosítási célokra is, például üzlethelyiségekben vagy rendezvényeken. A hangerő 10 W, 20 W és 40 W fokozatokban állítható, így Ön minden helyzetben pontosan a kívánt hangerőt érheti el.
A hangdoboz 2-utas rendszerű, amely a gazdag, részletgazdag hangzásért selyem dóm magassugárzóval és bass-reflex technológiával rendelkezik. Merevített ABS műanyag burkolata és fém védőrácsa megbízható tartósságot biztosít, miközben elegáns fehér színével diszkréten illeszkedik bármilyen enteriőrbe. A készülék álló és fekvő helyzetben egyaránt használható, falra és mennyezetre szerelhető, emellett billenthető és forgatható kialakítása lehetővé teszi, hogy a hangot pontosan a kívánt irányba irányítsa.
A csavaros vezeték csatlakozók stabil és megbízható kapcsolatot biztosítanak, így a beszerelés gyors és egyszerű. Terhelhetősége 60 W / 8 Ohm és 40 W / 100 V~, így nagyobb térben is képes kimagasló hangzást nyújtani. A hangdoboz mérete 200 x 285 x 190 mm, súlya pedig 2,9 kg, így masszív és tartós kialakítású.
Válassza a SAL BXB 100/8 hangdobozt, és emelje új szintre a hangélményt otthonában vagy professzionális környezetben!</t>
        </is>
      </c>
    </row>
    <row r="1323">
      <c r="A1323" s="6" t="inlineStr">
        <is>
          <t xml:space="preserve">   Hangtechnika / Hifi középsugárzó, mélysugárzó, dómsugárzó</t>
        </is>
      </c>
      <c r="B1323" s="6" t="inlineStr">
        <is>
          <t/>
        </is>
      </c>
      <c r="C1323" s="6" t="inlineStr">
        <is>
          <t/>
        </is>
      </c>
      <c r="D1323" s="6" t="inlineStr">
        <is>
          <t/>
        </is>
      </c>
      <c r="E1323" s="6" t="inlineStr">
        <is>
          <t/>
        </is>
      </c>
      <c r="F1323" s="6" t="inlineStr">
        <is>
          <t/>
        </is>
      </c>
      <c r="G1323" s="6" t="inlineStr">
        <is>
          <t/>
        </is>
      </c>
    </row>
    <row r="1324">
      <c r="A1324" s="3" t="inlineStr">
        <is>
          <t>SBV 2020</t>
        </is>
      </c>
      <c r="B1324" s="2" t="inlineStr">
        <is>
          <t>SAL SBV 2020 mélysugárzó, 80 W, alumínium csévetest, 2 rétegű hangtekercs, 20 Oz mágnes</t>
        </is>
      </c>
      <c r="C1324" s="1" t="n">
        <v>8890.0</v>
      </c>
      <c r="D1324" s="7" t="n">
        <f>HYPERLINK("https://www.somogyi.hu/product/sal-sbv-2020-melysugarzo-80-w-aluminium-csevetest-2-retegu-hangtekercs-20-oz-magnes-sbv-2020-3050","https://www.somogyi.hu/product/sal-sbv-2020-melysugarzo-80-w-aluminium-csevetest-2-retegu-hangtekercs-20-oz-magnes-sbv-2020-3050")</f>
        <v>0.0</v>
      </c>
      <c r="E1324" s="7" t="n">
        <f>HYPERLINK("https://www.somogyi.hu/data/img/product_main_images/small/03050.jpg","https://www.somogyi.hu/data/img/product_main_images/small/03050.jpg")</f>
        <v>0.0</v>
      </c>
      <c r="F1324" s="2" t="inlineStr">
        <is>
          <t>5998312733745</t>
        </is>
      </c>
      <c r="G1324" s="4" t="inlineStr">
        <is>
          <t>Szeretné, ha autójában a mélyhangok teljes erejükben szólalnának meg? A SAL SBV 2020 mélysugárzó kiváló választás, ha erőteljes és részletgazdag basszust keres. 
Ez a 80 W teljesítményű mélysugárzó magas minőségi követelményeknek felel meg, így autós és professzionális hangrendszerekhez is ideális. A SAL SBV 2020 frekvenciatartománya 45–5.000 Hz, ami biztosítja a mély és középtartományban a tiszta és pontos hangzást, míg a 85 dB-es érzékenység lehetővé teszi, hogy a mélysugárzó még alacsonyabb hangerőnél is kiváló minőséget nyújtson. A hangtekercs egy 1 hüvelykes, 2 rétegű kialakítású, ami rendkívüli tartósságot és kimagasló hanghűséget biztosít, különösen az intenzív basszusoknál. Az alumínium csévetest könnyű, de stabil felépítést ad a hangszórónak, ami hozzájárul a pontos hangvisszaadáshoz és a nagyobb teljesítmény eléréséhez.
A 20 Oz mágnessel ellátott mélysugárzó erőteljes mágneses mezőt generál, ami garantálja az erőteljes, tiszta és torzításmentes hangzást, még nagyobb hangerőn is. Terhelhetősége 80 W maximális és 50 W névleges teljesítmény, ami lehetővé teszi a SAL SBV 2020 számára, hogy a hangrendszer részletes és gazdag basszusokkal töltse meg a teret.
Ne érje be kevesebbel, ha a hangélményről van szó! Válassza a SAL SBV 2020 mélysugárzót, és fedezze fel a mély, dübörgő basszus világát autójában vagy bármilyen hangrendszerben!</t>
        </is>
      </c>
    </row>
    <row r="1325">
      <c r="A1325" s="3" t="inlineStr">
        <is>
          <t>SBX 1010/BK</t>
        </is>
      </c>
      <c r="B1325" s="2" t="inlineStr">
        <is>
          <t>SAL SBX 1010/BK mélyközépsugárzó, 50 W, alumínium csévetest, 2 rétegű hangtekercs, 10 Oz mágnes</t>
        </is>
      </c>
      <c r="C1325" s="1" t="n">
        <v>5690.0</v>
      </c>
      <c r="D1325" s="7" t="n">
        <f>HYPERLINK("https://www.somogyi.hu/product/sal-sbx-1010-bk-melykozepsugarzo-50-w-aluminium-csevetest-2-retegu-hangtekercs-10-oz-magnes-sbx-1010-bk-8803","https://www.somogyi.hu/product/sal-sbx-1010-bk-melykozepsugarzo-50-w-aluminium-csevetest-2-retegu-hangtekercs-10-oz-magnes-sbx-1010-bk-8803")</f>
        <v>0.0</v>
      </c>
      <c r="E1325" s="7" t="n">
        <f>HYPERLINK("https://www.somogyi.hu/data/img/product_main_images/small/08803.jpg","https://www.somogyi.hu/data/img/product_main_images/small/08803.jpg")</f>
        <v>0.0</v>
      </c>
      <c r="F1325" s="2" t="inlineStr">
        <is>
          <t>5998312776858</t>
        </is>
      </c>
      <c r="G1325" s="4" t="inlineStr">
        <is>
          <t>Olyan középsugárzót keres, amely képes a mély és középfrekvenciákat tökéletes részletességgel megszólaltatni? A SAL SBX 1010/BK mélyközépsugárzóval garantáltan megkapja a kristálytiszta hangzást és gazdag mélyhangokat, amelyek minden zenei stílushoz kiválóan illeszkednek. 
Ez a 50 wattos teljesítményű sugárzó az igényes zenehallgatóknak készült, akik kivételes élményre vágynak. A 100 mm-es névleges átmérővel rendelkező SAL SBX 1010/BK kompakt méretű, így könnyen beilleszthető különféle rendszerekbe. A kevlár alapanyagú kónusz extra tartósságot és rezgésmentes hangzást biztosít, ezáltal a mély- és középfrekvenciák is tisztán, részletgazdagon szólalnak meg. A 55–8000 Hz-es frekvenciatartomány a hangskála alsó és középső részét is lefedi, így élvezheti a gazdag és kiegyensúlyozott hangzást minden zenei műfajban.
Az alumínium csévetest és a 0,75 hüvelykes, két rétegű hangtekercs hosszú élettartamot és megbízhatóságot garantál, míg a 10 Oz-os mágnes stabil teljesítményt biztosít, még nagyobb hangerő mellett is. Az érzékenység 82 dB, amely lehetővé teszi, hogy részletgazdag hangzás szólaljon meg még alacsonyabb hangerőn is. Az 8 Ω-os impedancia révén könnyen illeszkedik a legtöbb rendszerhez, ami különösen hasznos a változatos felhasználási lehetőségek szempontjából.
Válassza a SAL SBX 1010/BK mélyközépsugárzót, és élvezze a kompromisszummentes hangzást – tegye még gazdagabbá a zenehallgatás élményét!</t>
        </is>
      </c>
    </row>
    <row r="1326">
      <c r="A1326" s="3" t="inlineStr">
        <is>
          <t>SBV 2020/4</t>
        </is>
      </c>
      <c r="B1326" s="2" t="inlineStr">
        <is>
          <t>SAL SBV 2020/4 mélysugárzó, 80 W, alumínium csévetest, 2 rétegű hangtekercs, 20 Oz mágnes</t>
        </is>
      </c>
      <c r="C1326" s="1" t="n">
        <v>8890.0</v>
      </c>
      <c r="D1326" s="7" t="n">
        <f>HYPERLINK("https://www.somogyi.hu/product/sal-sbv-2020-4-melysugarzo-80-w-aluminium-csevetest-2-retegu-hangtekercs-20-oz-magnes-sbv-2020-4-3141","https://www.somogyi.hu/product/sal-sbv-2020-4-melysugarzo-80-w-aluminium-csevetest-2-retegu-hangtekercs-20-oz-magnes-sbv-2020-4-3141")</f>
        <v>0.0</v>
      </c>
      <c r="E1326" s="7" t="n">
        <f>HYPERLINK("https://www.somogyi.hu/data/img/product_main_images/small/03141.jpg","https://www.somogyi.hu/data/img/product_main_images/small/03141.jpg")</f>
        <v>0.0</v>
      </c>
      <c r="F1326" s="2" t="inlineStr">
        <is>
          <t>5998312734650</t>
        </is>
      </c>
      <c r="G1326" s="4" t="inlineStr">
        <is>
          <t>Szeretné, ha a zene minden mélyhangja átütő erővel töltené meg a teret? A SAL SBV 2020/4 mélysugárzóval ez lehetséges, hiszen 80 wattos teljesítményével és precízen megtervezett alkatrészeivel képes a basszus hangokat valóban élettel telivé varázsolni. 
Ez a mélysugárzó ideális választás mind autóba, mind otthoni hangrendszerbe azok számára, akik nem érik be a középszerű hangzással. A SAL SBV 2020/4 mélysugárzó 200 mm-es névleges átmérője tökéletes egyensúlyt teremt a teljesítmény és a kompakt méret között, így könnyedén elfér különböző rendszerekben is. A PC alapanyagú kónusz nemcsak tartósságot, hanem gazdag és tiszta hangzást is biztosít, amely különösen a mély frekvenciák esetében nyújt meggyőző élményt. A frekvenciaátvitel 45 – 5000 Hz között mozog, amely széles spektrumot fed le, így még a középfrekvenciák is tisztán megszólalnak.
Az 1 colos, 2 rétegű hangtekercs és az alumínium csévetest nagy igénybevétel mellett is megbízható működést garantál, míg a 20 Oz-os mágnes biztosítja az erőteljes basszust és a stabil teljesítményt. Az érzékenység 86 dB, ami lehetővé teszi, hogy még alacsonyabb teljesítményen is kimagasló hangzást nyújtson. A 4 Ω-os impedancia rugalmasságot biztosít a különféle hangrendszerekbe való illesztéshez.
Válassza a SAL SBV 2020/4 mélysugárzót, és érezze a zene minden mélyét és rezdülését – tegye gazdagabbá a hangzásvilágot!</t>
        </is>
      </c>
    </row>
    <row r="1327">
      <c r="A1327" s="3" t="inlineStr">
        <is>
          <t>DTF 12</t>
        </is>
      </c>
      <c r="B1327" s="2" t="inlineStr">
        <is>
          <t>SAL DFT 12 HIFI dómsugárzó, 100 W, 8 Ohm, selyem membrán, 2 rétegű tekercs, 8 Oz mágnes</t>
        </is>
      </c>
      <c r="C1327" s="1" t="n">
        <v>5090.0</v>
      </c>
      <c r="D1327" s="7" t="n">
        <f>HYPERLINK("https://www.somogyi.hu/product/sal-dft-12-hifi-domsugarzo-100-w-8-ohm-selyem-membran-2-retegu-tekercs-8-oz-magnes-dtf-12-2656","https://www.somogyi.hu/product/sal-dft-12-hifi-domsugarzo-100-w-8-ohm-selyem-membran-2-retegu-tekercs-8-oz-magnes-dtf-12-2656")</f>
        <v>0.0</v>
      </c>
      <c r="E1327" s="7" t="n">
        <f>HYPERLINK("https://www.somogyi.hu/data/img/product_main_images/small/02656.jpg","https://www.somogyi.hu/data/img/product_main_images/small/02656.jpg")</f>
        <v>0.0</v>
      </c>
      <c r="F1327" s="2" t="inlineStr">
        <is>
          <t>5998312729762</t>
        </is>
      </c>
      <c r="G1327" s="4" t="inlineStr">
        <is>
          <t>Olyan magas sugárzóra van szüksége, amely a részletgazdag és természetes hangvisszaadást biztosítja? A SAL DFT 12 Hi-Fi dómsugárzó kiváló választás, ha kifinomult hangzást keres, amely minden hangrendszer részletgazdag kiegészítője lehet. 
Ez a 100 W maximális teljesítményű, 8 Ohm impedanciájú hangszóró egyedi tervezésének köszönhetően tökéletesen közvetíti a magas frekvenciákat, gazdagítva az otthoni hangrendszert. A SAL DFT 12 frekvenciatartománya 2.000–21.000 Hz, amely biztosítja a részletgazdag magas és középmagas hangok tiszta megszólalását. A 91 dB érzékenység lehetővé teszi, hogy a hangszóró már alacsonyabb hangerőn is rendkívüli tisztasággal és intenzitással szólaljon meg. 
A selyem membrán természetes hangvisszaadást biztosít, amely sima és tiszta hangzást eredményez, így a zene minden árnyalata hűen visszaadott. Az 1 hüvelykes, 2 rétegű hangtekercs tartós kialakításával és gyors reagálásával megbízható teljesítményt nyújt, hosszú élettartamot garantálva. A 8 Oz-os mágnes biztosítja a stabil mágneses mezőt, amelynek köszönhetően a SAL DFT 12 Hi-Fi dómsugárzó még a legfinomabb magas hangokat is kiváló részletességgel szólaltatja meg. Ezáltal Ön teljes, kristálytiszta zenei élményben részesül, amely tökéletesen kiegészíti bármely Hi-Fi rendszer hangzásvilágát.
Válassza a SAL DFT 12 Hi-Fi dómsugárzót, hogy a zenét valóban életre keltse otthonában!</t>
        </is>
      </c>
    </row>
    <row r="1328">
      <c r="A1328" s="3" t="inlineStr">
        <is>
          <t>SKN 16</t>
        </is>
      </c>
      <c r="B1328" s="2" t="inlineStr">
        <is>
          <t>SAL SKN 16 középsugárzó, 60 W, zárt kosár, merev és impregnált kónusz, 176 mm</t>
        </is>
      </c>
      <c r="C1328" s="1" t="n">
        <v>6290.0</v>
      </c>
      <c r="D1328" s="7" t="n">
        <f>HYPERLINK("https://www.somogyi.hu/product/sal-skn-16-kozepsugarzo-60-w-zart-kosar-merev-es-impregnalt-konusz-176-mm-skn-16-8713","https://www.somogyi.hu/product/sal-skn-16-kozepsugarzo-60-w-zart-kosar-merev-es-impregnalt-konusz-176-mm-skn-16-8713")</f>
        <v>0.0</v>
      </c>
      <c r="E1328" s="7" t="n">
        <f>HYPERLINK("https://www.somogyi.hu/data/img/product_main_images/small/08713.jpg","https://www.somogyi.hu/data/img/product_main_images/small/08713.jpg")</f>
        <v>0.0</v>
      </c>
      <c r="F1328" s="2" t="inlineStr">
        <is>
          <t>5998312775974</t>
        </is>
      </c>
      <c r="G1328" s="4" t="inlineStr">
        <is>
          <t>Hogyan érheti el, hogy a középfrekvenciák is épp olyan részletgazdagok és élettel teliek legyenek, mint a mély- vagy magas hangok? A SAL SKN 16 középsugárzó a tiszta és dinamikus középfrekvenciák mestere, amely 60 wattos teljesítményével és precíz kialakításával kiváló választás otthoni és autós hangrendszerekhez egyaránt. 
Ez a sugárzó garantálja, hogy a zene minden árnyalata és a filmek párbeszédei tisztán és részletgazdagon szólaljanak meg. A 170 mm-es névleges átmérővel rendelkező hangszóró képes lefedni a középfrekvenciák teljes spektrumát, miközben a merev és impregnált PC kónusz biztosítja a torzításmentes, tiszta hangzást. A légmentesen zárt kosár konstrukció hatékonyan csökkenti a rezgéseket és biztosítja, hogy a hangszóró által kibocsátott hangok mindig zavartalanul érkezzenek a hallgatóhoz.
A 300 – 6000 Hz közötti frekvenciatartomány széles spektrumot ölel fel, amely ideálisan megfelel a középfrekvenciák hangsúlyozására. Az érzékenység 88 dB, így már alacsony hangerő mellett is részletgazdag és életteli hangzás érhető el. A 8 Ω-os impedancia és a 60 W-os maximális terhelhetőség biztosítja a kompatibilitást és a megbízhatóságot a különféle hangrendszerekben.
Válassza a SAL SKN 16 középsugárzót, hogy hangrendszerét a középfrekvenciák részletgazdag és természetes hangzásával tegye tökéletessé – élvezze a tiszta és kiegyensúlyozott zenei élményt minden alkalommal!</t>
        </is>
      </c>
    </row>
    <row r="1329">
      <c r="A1329" s="3" t="inlineStr">
        <is>
          <t>SBX 2530/BK</t>
        </is>
      </c>
      <c r="B1329" s="2" t="inlineStr">
        <is>
          <t>SAL SBX 2530/BK mélysugárzó, 150 W, alumínium csévetest, 4 rétegű hangtekercs, 30 Oz mágnes</t>
        </is>
      </c>
      <c r="C1329" s="1" t="n">
        <v>19790.0</v>
      </c>
      <c r="D1329" s="7" t="n">
        <f>HYPERLINK("https://www.somogyi.hu/product/sal-sbx-2530-bk-melysugarzo-150-w-aluminium-csevetest-4-retegu-hangtekercs-30-oz-magnes-sbx-2530-bk-8807","https://www.somogyi.hu/product/sal-sbx-2530-bk-melysugarzo-150-w-aluminium-csevetest-4-retegu-hangtekercs-30-oz-magnes-sbx-2530-bk-8807")</f>
        <v>0.0</v>
      </c>
      <c r="E1329" s="7" t="n">
        <f>HYPERLINK("https://www.somogyi.hu/data/img/product_main_images/small/08807.jpg","https://www.somogyi.hu/data/img/product_main_images/small/08807.jpg")</f>
        <v>0.0</v>
      </c>
      <c r="F1329" s="2" t="inlineStr">
        <is>
          <t>5998312776896</t>
        </is>
      </c>
      <c r="G1329" s="4" t="inlineStr">
        <is>
          <t>Készen áll arra, hogy valóban átélje a basszus hangok erejét? A SAL SBX 2530/BK mélysugárzó minden olyan zene- és filmrajongónak készült, aki mély és dinamikus hangzást keres a kivételes zenei élmény érdekében. 
Ez a 150 wattos teljesítményű mélysugárzó lenyűgöző mélyhangokat biztosít, amelyek tökéletesen illeszkednek mind az autós, mind az otthoni hangrendszerekhez. A hangszóró 254 mm-es átmérője lehetővé teszi, hogy valóban átütő basszust nyújtson, míg a kevlár anyagú kónusz kiemelkedő tartósságot és tiszta hangzást biztosít. A frekvenciaátvitel 30 – 2500 Hz között mozog, így a legmélyebb basszusoktól a középfrekvenciákig tökéletesen szólaltatja meg a hangokat, garantálva a gazdag, részletgazdag hangélményt.
A 1,5 hüvelykes, négy rétegű hangtekercs és az alumínium csévetest lehetővé teszi a stabil, torzításmentes hangzást még magas hangerőn is, míg a 30 Oz-os mágnes biztosítja a kivételes teljesítményt. Az érzékenység 90 dB, amely lehetővé teszi, hogy alacsonyabb teljesítmény mellett is élvezhető és részletgazdag hangzás legyen a végeredmény. Az 8 Ω-os impedancia révén sokoldalúan illeszkedik különféle erősítőkhöz és rendszerekhez.
Válassza a SAL SBX 2530/BK mélysugárzót, és vigye hangélményét új szintre – érezze a basszust, amely megragadja a figyelmet és élettel tölti meg a teret!</t>
        </is>
      </c>
    </row>
    <row r="1330">
      <c r="A1330" s="3" t="inlineStr">
        <is>
          <t>SBX 2030/BK</t>
        </is>
      </c>
      <c r="B1330" s="2" t="inlineStr">
        <is>
          <t>SAL SBX 2030/BK mélysugárzó, 120 W, alumínium csévetest, 4 rétegű hangtekercs, 30 Oz mágnes</t>
        </is>
      </c>
      <c r="C1330" s="1" t="n">
        <v>17690.0</v>
      </c>
      <c r="D1330" s="7" t="n">
        <f>HYPERLINK("https://www.somogyi.hu/product/sal-sbx-2030-bk-melysugarzo-120-w-aluminium-csevetest-4-retegu-hangtekercs-30-oz-magnes-sbx-2030-bk-8806","https://www.somogyi.hu/product/sal-sbx-2030-bk-melysugarzo-120-w-aluminium-csevetest-4-retegu-hangtekercs-30-oz-magnes-sbx-2030-bk-8806")</f>
        <v>0.0</v>
      </c>
      <c r="E1330" s="7" t="n">
        <f>HYPERLINK("https://www.somogyi.hu/data/img/product_main_images/small/08806.jpg","https://www.somogyi.hu/data/img/product_main_images/small/08806.jpg")</f>
        <v>0.0</v>
      </c>
      <c r="F1330" s="2" t="inlineStr">
        <is>
          <t>5998312776889</t>
        </is>
      </c>
      <c r="G1330" s="4" t="inlineStr">
        <is>
          <t>Szeretne valódi mélyhangokat hallani, amelyek életre keltik kedvenc zenéit vagy filmjeit? A SAL SBX 2030/BK mélysugárzóval garantáltan megélheti a mélyhangzás élményét, amelyet a nagy teljesítményű, 120 wattos konstrukció biztosít. 
Ez a professzionális mélysugárzó tökéletesen illik olyan helyekre, ahol a minőségi hangélmény elsődleges. A SAL SBX 2030/BK 204 mm-es átmérője révén ideális a teljes basszusfrekvencia lefedésére, míg a kevlár alapanyagú kónusz erős és tartós, emellett kivételes hangzást nyújt, különösen alacsony frekvenciákon. A frekvenciaátvitel 35 – 3000 Hz között mozog, amely lehetővé teszi a tiszta és mély hangokat, miközben a középfrekvenciák is kifinomultan szólalnak meg.
Az 1,5 hüvelykes, négy rétegű hangtekercs és a masszív, 30 Oz-os mágnes gondoskodik arról, hogy minden basszusjegy megbízhatóan, tisztán szólaljon meg. Az alumínium csévetest nagy ellenállóképességet biztosít, így a hangszóró hosszú élettartamú és nagy terhelés alatt is stabil. Az érzékenységi szintje 88 dB, amely képes tisztán közvetíteni a részleteket, hogy a hangzás valóban teljes és élettel teli legyen.
Válassza a SAL SBX 2030/BK mélysugárzót, és élje át a lenyűgöző basszusokat – töltse meg a teret valódi, erőteljes hangzással!</t>
        </is>
      </c>
    </row>
    <row r="1331">
      <c r="A1331" s="3" t="inlineStr">
        <is>
          <t>SBX 1620/BK</t>
        </is>
      </c>
      <c r="B1331" s="2" t="inlineStr">
        <is>
          <t>SAL SBX 1620/BK mélysugárzó, 80 W, alumínium csévetest, 4 rétegű hangtekercs, 20 Oz mágnes</t>
        </is>
      </c>
      <c r="C1331" s="1" t="n">
        <v>10890.0</v>
      </c>
      <c r="D1331" s="7" t="n">
        <f>HYPERLINK("https://www.somogyi.hu/product/sal-sbx-1620-bk-melysugarzo-80-w-aluminium-csevetest-4-retegu-hangtekercs-20-oz-magnes-sbx-1620-bk-8805","https://www.somogyi.hu/product/sal-sbx-1620-bk-melysugarzo-80-w-aluminium-csevetest-4-retegu-hangtekercs-20-oz-magnes-sbx-1620-bk-8805")</f>
        <v>0.0</v>
      </c>
      <c r="E1331" s="7" t="n">
        <f>HYPERLINK("https://www.somogyi.hu/data/img/product_main_images/small/08805.jpg","https://www.somogyi.hu/data/img/product_main_images/small/08805.jpg")</f>
        <v>0.0</v>
      </c>
      <c r="F1331" s="2" t="inlineStr">
        <is>
          <t>5998312776872</t>
        </is>
      </c>
      <c r="G1331" s="4" t="inlineStr">
        <is>
          <t>Készen áll arra, hogy megtapasztalja a basszusok mélységét és erejét? A SAL SBX 1620/BK mélysugárzó pontosan erre készült, hiszen 80 wattos teljesítménye garantálja, hogy akár otthoni, akár autós használat során is kitűnően szólaljon meg. 
Az erőteljes hanghatásért felelős, négy rétegű hangtekercse kiváló minőségű, amely nemcsak tartósságot, hanem dinamikus hangzást is biztosít, még intenzív hangerő mellett is. A 45 – 7.000 Hz közötti frekvenciatartománynak köszönhetően ez a mélysugárzó az alacsony basszusoktól egészen a középtartományig tiszta és élvezhető hangot nyújt. A 87 dB-es érzékenysége révén kisebb teljesítmény mellett is részletgazdag és határozott hangzás érhető el. A 20 Oz-os, masszív mágneses szerkezet biztosítja a stabilitást és a megbízható teljesítményt, még magas hangerőnél is, míg a strapabíró alumínium csévetest a rezgésmentes hangélmény garanciája.
Válassza a SAL SBX 1620/BK mélysugárzót, és emelje új szintre a zenehallgatás élményét – hagyja, hogy a basszus valóban átjárja a teret!</t>
        </is>
      </c>
    </row>
    <row r="1332">
      <c r="A1332" s="3" t="inlineStr">
        <is>
          <t>SKN 10</t>
        </is>
      </c>
      <c r="B1332" s="2" t="inlineStr">
        <is>
          <t>SAL SKN 10 középsugárzó, 40 W, zárt kosár, merev és impregnált kónusz, 110 mm</t>
        </is>
      </c>
      <c r="C1332" s="1" t="n">
        <v>3690.0</v>
      </c>
      <c r="D1332" s="7" t="n">
        <f>HYPERLINK("https://www.somogyi.hu/product/sal-skn-10-kozepsugarzo-40-w-zart-kosar-merev-es-impregnalt-konusz-110-mm-skn-10-8711","https://www.somogyi.hu/product/sal-skn-10-kozepsugarzo-40-w-zart-kosar-merev-es-impregnalt-konusz-110-mm-skn-10-8711")</f>
        <v>0.0</v>
      </c>
      <c r="E1332" s="7" t="n">
        <f>HYPERLINK("https://www.somogyi.hu/data/img/product_main_images/small/08711.jpg","https://www.somogyi.hu/data/img/product_main_images/small/08711.jpg")</f>
        <v>0.0</v>
      </c>
      <c r="F1332" s="2" t="inlineStr">
        <is>
          <t>5998312775950</t>
        </is>
      </c>
      <c r="G1332" s="4" t="inlineStr">
        <is>
          <t>Olyan középsugárzót keres, amely kristálytiszta középfrekvenciákkal képes megteremteni az ideális hangzásélményt? A SAL SKN 10 középsugárzó a tökéletes választás minden olyan környezetbe, ahol az éles és tiszta hangzás a cél. 
A 40 wattos teljesítménnyel rendelkező középsugárzó nemcsak precízen szólaltatja meg a középfrekvenciákat, de kiválóan illeszkedik bármilyen hangrendszerbe, legyen az otthoni vagy autós környezet. A SAL SKN 10 hangszóró 100 mm-es névleges átmérővel rendelkezik, amely ideális méret a középfrekvenciák részletgazdag megszólaltatásához. A légmentesen zárt kosár kialakításának köszönhetően a hangszóró megőrzi a tisztaságot és megakadályozza a rezgések okozta torzítást. A merev és impregnált PC kónusz alapanyag erős és tartós szerkezetet biztosít, így a hangzás tiszta marad még intenzívebb hangerő mellett is.
A frekvenciaátvitel 500 – 8500 Hz között mozog, amely tökéletesen lefedi a középfrekvenciák tartományát, hogy minden részletet hallhasson, ami igazán gazdaggá teszi a hangélményt. Az érzékenységi szintje 84 dB, így akár alacsonyabb teljesítmény mellett is kiváló hangminőséget nyújt. A 8 Ω-os impedanciával pedig könnyen illeszthető a legtöbb rendszerhez.
Válassza a SAL SKN 10 középsugárzót, és élvezze a tiszta és természetes hangzást – tapasztalja meg a hangzás új dimenzióját!</t>
        </is>
      </c>
    </row>
    <row r="1333">
      <c r="A1333" s="3" t="inlineStr">
        <is>
          <t>SKN 13</t>
        </is>
      </c>
      <c r="B1333" s="2" t="inlineStr">
        <is>
          <t>SAL SKN 13 középsugárzó, 50 W, zárt kosár, merev és impregnált kónusz, 136 mm</t>
        </is>
      </c>
      <c r="C1333" s="1" t="n">
        <v>4490.0</v>
      </c>
      <c r="D1333" s="7" t="n">
        <f>HYPERLINK("https://www.somogyi.hu/product/sal-skn-13-kozepsugarzo-50-w-zart-kosar-merev-es-impregnalt-konusz-136-mm-skn-13-8712","https://www.somogyi.hu/product/sal-skn-13-kozepsugarzo-50-w-zart-kosar-merev-es-impregnalt-konusz-136-mm-skn-13-8712")</f>
        <v>0.0</v>
      </c>
      <c r="E1333" s="7" t="n">
        <f>HYPERLINK("https://www.somogyi.hu/data/img/product_main_images/small/08712.jpg","https://www.somogyi.hu/data/img/product_main_images/small/08712.jpg")</f>
        <v>0.0</v>
      </c>
      <c r="F1333" s="2" t="inlineStr">
        <is>
          <t>5998312775967</t>
        </is>
      </c>
      <c r="G1333" s="4" t="inlineStr">
        <is>
          <t>Olyan középsugárzót keres, amely részletgazdag és tiszta hangzással képes megszólaltatni a középfrekvenciákat? A SAL SKN 13 középsugárzó ideális választás mindazok számára, akik nem elégednek meg az átlagos hangzással. 
Ez az 50 wattos teljesítményű hangszóró kiválóan teljesít, akár autós, akár otthoni használatra tervezi, hiszen tervezése során minden részletre figyelmet fordítottak a tökéletes hangzás érdekében. A SAL SKN 13 középsugárzó 136 mm-es névleges átmérőjű, ami optimális méretet biztosít a középfrekvenciák precíz megszólaltatásához. A merev és impregnált PC kónusz stabil szerkezetet és tiszta hangzást biztosít, így a hangszóró hatékonyan képes megszólaltatni a középfrekvenciákat torzítás nélkül. A légmentesen zárt kosár konstrukció segít a hangminőség javításában azáltal, hogy csökkenti a nem kívánt rezgéseket, és tiszta, zavartalan hangzást eredményez.
A frekvenciaátvitele 400 – 7000 Hz között mozog, ami azt jelenti, hogy a középfrekvenciák mellett az alsóbb tartományok részletei is jól érvényesülnek. A 86 dB-es érzékenysége kiváló részletgazdagságot nyújt még alacsonyabb hangerő mellett is, így a hangszóró minden környezetben meggyőző teljesítményt nyújt. Az 8 Ω-os impedancia lehetővé teszi, hogy könnyen illeszkedjen a különféle hangrendszerekhez és erősítőkhöz.
Fedezze fel a SAL SKN 13 középsugárzót, és élvezze a kristálytiszta, részletgazdag középfrekvenciákat – töltse meg terét élettel és minőségi hangzással!</t>
        </is>
      </c>
    </row>
    <row r="1334">
      <c r="A1334" s="3" t="inlineStr">
        <is>
          <t>SBX 1320/BK</t>
        </is>
      </c>
      <c r="B1334" s="2" t="inlineStr">
        <is>
          <t>SAL SBX 1320/BK mélyközépsugárzó, 60 W, alumínium csévetest, 4 rétegű hangtekercs, 20 Oz mágnes</t>
        </is>
      </c>
      <c r="C1334" s="1" t="n">
        <v>6990.0</v>
      </c>
      <c r="D1334" s="7" t="n">
        <f>HYPERLINK("https://www.somogyi.hu/product/sal-sbx-1320-bk-melykozepsugarzo-60-w-aluminium-csevetest-4-retegu-hangtekercs-20-oz-magnes-sbx-1320-bk-8804","https://www.somogyi.hu/product/sal-sbx-1320-bk-melykozepsugarzo-60-w-aluminium-csevetest-4-retegu-hangtekercs-20-oz-magnes-sbx-1320-bk-8804")</f>
        <v>0.0</v>
      </c>
      <c r="E1334" s="7" t="n">
        <f>HYPERLINK("https://www.somogyi.hu/data/img/product_main_images/small/08804.jpg","https://www.somogyi.hu/data/img/product_main_images/small/08804.jpg")</f>
        <v>0.0</v>
      </c>
      <c r="F1334" s="2" t="inlineStr">
        <is>
          <t>5998312776865</t>
        </is>
      </c>
      <c r="G1334" s="4" t="inlineStr">
        <is>
          <t>Olyan mélyközépsugárzót keres, amely kompromisszummentes hangzást nyújt és a középtartományt is erőteljesen képes megszólaltatni? A SAL SBX 1320/BK mélyközépsugárzó a tiszta, részletgazdag és dinamikus hangzás tökéletes eszköze, akár autóban, akár otthoni használatban. 
Ezzel a 60 wattos teljesítményű hangszóróval igazi élményt nyújt a mély és középfrekvenciák terén. A 130 mm-es névleges átmérőjű sugárzó kevlár kónusszal rendelkezik, amely nemcsak kivételesen erős, hanem hatékonyan képes megszólaltatni a közép- és mélyhangokat is. A frekvenciatartomány 50–7000 Hz között mozog, így ideális választás azok számára, akik széles frekvenciaspektrumot szeretnének hallani egy kompakt sugárzóból. Az 1 hüvelykes, négy rétegű hangtekercs és a strapabíró alumínium csévetest garantálja, hogy a hang tisztán és torzításmentesen szólaljon meg, még nagyobb terhelés mellett is.
A hangszóró 20 Oz-os mágnesének köszönhetően biztosított a stabil teljesítmény és a hosszú élettartam. Az érzékenységi szintje 85 dB, így a részletek és a dinamikus hangzás már alacsonyabb teljesítményen is jól kivehető. A 8 Ω-os impedancia révén széles körben alkalmazható, illeszkedve a legtöbb rendszerhez és erősítőhöz.
Válassza a SAL SBX 1320/BK mélyközépsugárzót, és emelje új szintre hangélményeit – érezze a zenét teljes részletességében!</t>
        </is>
      </c>
    </row>
    <row r="1335">
      <c r="A1335" s="3" t="inlineStr">
        <is>
          <t>DT 21</t>
        </is>
      </c>
      <c r="B1335" s="2" t="inlineStr">
        <is>
          <t>SAL DT 21 dómsugárzó, 40 W, 8 Ohm, mylar membrán, 2x0,6 Oz mágnes</t>
        </is>
      </c>
      <c r="C1335" s="1" t="n">
        <v>1390.0</v>
      </c>
      <c r="D1335" s="7" t="n">
        <f>HYPERLINK("https://www.somogyi.hu/product/sal-dt-21-domsugarzo-40-w-8-ohm-mylar-membran-2x0-6-oz-magnes-dt-21-16208","https://www.somogyi.hu/product/sal-dt-21-domsugarzo-40-w-8-ohm-mylar-membran-2x0-6-oz-magnes-dt-21-16208")</f>
        <v>0.0</v>
      </c>
      <c r="E1335" s="7" t="n">
        <f>HYPERLINK("https://www.somogyi.hu/data/img/product_main_images/small/16208.jpg","https://www.somogyi.hu/data/img/product_main_images/small/16208.jpg")</f>
        <v>0.0</v>
      </c>
      <c r="F1335" s="2" t="inlineStr">
        <is>
          <t>5999084942403</t>
        </is>
      </c>
      <c r="G1335" s="4" t="inlineStr">
        <is>
          <t>Szeretne részletgazdag, tiszta és élettel teli magas hangokat hallani kedvenc zenéiben? A SAL DT 21 dómsugárzó tökéletes megoldást kínál azok számára, akik a kifinomult, precíz és éles magas hangokat keresik. 
Ez a 40 wattos teljesítményű dómsugárzó ideális kiegészítő bármilyen hangrendszerhez, és gondoskodik arról, hogy minden apró hangrészlet tisztán hallható legyen. A SAL DT 21 sugárzó 74 mm-es névleges átmérőjével és mylar anyagú membránjával hosszú élettartamot és megbízható működést biztosít, akár intenzív használat mellett is. A mylar membrán könnyű, mégis rendkívül tartós, így minimalizálja a torzítást és garantálja a kristálytiszta hangzást. A 3.000 – 21.000 Hz közötti frekvenciatartomány lehetővé teszi, hogy a hangrendszer minden magas hangot tisztán megszólaltasson, legyen szó zenéről vagy filmről.
Az érzékenysége 91 dB, ami kimagasló részletgazdagságot nyújt, és lehetővé teszi, hogy már alacsonyabb hangerő mellett is teljes hangélményt biztosítson. A 8 Ohmos impedancia kiváló kompatibilitást jelent a különböző hangrendszerekkel, így könnyen beilleszthető a meglévő technikába. A 2 x 0,6 Oz-os mágnesek biztosítják a stabil teljesítményt és precíz hangzást, miközben a sugárzó 40 W-os zenei terhelhetősége lehetővé teszi az élénk és életteli megszólalást.
Válassza a SAL DT 21 dómsugárzót, és élvezze a tiszta, részletgazdag magas hangokat, amelyek új szintre emelik zenehallgatási élményét!</t>
        </is>
      </c>
    </row>
    <row r="1336">
      <c r="A1336" s="6" t="inlineStr">
        <is>
          <t xml:space="preserve">   Hangtechnika / Multimédia készülék</t>
        </is>
      </c>
      <c r="B1336" s="6" t="inlineStr">
        <is>
          <t/>
        </is>
      </c>
      <c r="C1336" s="6" t="inlineStr">
        <is>
          <t/>
        </is>
      </c>
      <c r="D1336" s="6" t="inlineStr">
        <is>
          <t/>
        </is>
      </c>
      <c r="E1336" s="6" t="inlineStr">
        <is>
          <t/>
        </is>
      </c>
      <c r="F1336" s="6" t="inlineStr">
        <is>
          <t/>
        </is>
      </c>
      <c r="G1336" s="6" t="inlineStr">
        <is>
          <t/>
        </is>
      </c>
    </row>
    <row r="1337">
      <c r="A1337" s="3" t="inlineStr">
        <is>
          <t>RRT 4B</t>
        </is>
      </c>
      <c r="B1337" s="2" t="inlineStr">
        <is>
          <t>SAL RRT 4B retro asztali rádió, multimédia lejátszó, BT, USB/MicroSD, AUX, Rádió, EQ, ~16 óra üzemidő</t>
        </is>
      </c>
      <c r="C1337" s="1" t="n">
        <v>24990.0</v>
      </c>
      <c r="D1337" s="7" t="n">
        <f>HYPERLINK("https://www.somogyi.hu/product/sal-rrt-4b-retro-asztali-radio-multimedia-lejatszo-bt-usb-microsd-aux-radio-eq-16-ora-uzemido-rrt-4b-16337","https://www.somogyi.hu/product/sal-rrt-4b-retro-asztali-radio-multimedia-lejatszo-bt-usb-microsd-aux-radio-eq-16-ora-uzemido-rrt-4b-16337")</f>
        <v>0.0</v>
      </c>
      <c r="E1337" s="7" t="n">
        <f>HYPERLINK("https://www.somogyi.hu/data/img/product_main_images/small/16337.jpg","https://www.somogyi.hu/data/img/product_main_images/small/16337.jpg")</f>
        <v>0.0</v>
      </c>
      <c r="F1337" s="2" t="inlineStr">
        <is>
          <t>5999084943691</t>
        </is>
      </c>
      <c r="G1337" s="4" t="inlineStr">
        <is>
          <t>Vajon lehetséges egy asztali rádióval visszapörgetni az időt, miközben a modern zenei világ előnyeit élvezzük? A SAL RRT 4B retro asztali rádió nem csak ezt a kérdést válaszolja meg igenlően, hanem egyúttal elegáns, sokoldalú eszközként szolgál a zenehallgatás szinte minden formájához.
Ez a 4 az 1-ben multifunkcionális rádió nem csak a hagyományos AM, FM, SW1, és SW2 sávokon keresztül biztosítja a rádióadások vételét, hanem vezeték nélküli Bluetooth kapcsolatot is kínál, lehetővé téve a zene streamelését mobilkészülékről vagy számítógépről. Az USB és microSD eszközökön tárolt MP3 fájlok lejátszása mellett az AUX bemeneten keresztül további audio források is csatlakoztathatók, így szélesítheti zenei repertoárját.
Az integrált EQ hangszínszabályozóval finomhangolhatja a hangzást, míg a klasszikus fa hangdoboz és a két hangszóró gazdag, meleg hangzást biztosít. A távirányító segítségével kényelmesen irányíthatja a multimédia funkciókat, így az ágyból vagy a kanapéról is élvezheti kedvenc zenéit. A sokoldalú tápellátási opciók – beleértve a beépített akkumulátort, a tartozék hálózati kábelt, és a nem tartozék elemeket vagy külső adaptert – biztosítják, hogy a zene sosem szakad meg, legyen szó otthoni kikapcsolódásról vagy baráti összejövetelekről.
Hagyja, hogy a SAL RRT 4B retro asztali rádió a múlt és a jelen között hidat képezzen otthonában, miközben a zene minden formáját felfedezheti.</t>
        </is>
      </c>
    </row>
    <row r="1338">
      <c r="A1338" s="3" t="inlineStr">
        <is>
          <t>BTA 250</t>
        </is>
      </c>
      <c r="B1338" s="2" t="inlineStr">
        <is>
          <t>SAL BTA 250 sztereó multimédia erősítő, 2x50 Wmax / 4-8 Ohm, BT, FM rádió, USB, AUX</t>
        </is>
      </c>
      <c r="C1338" s="1" t="n">
        <v>36490.0</v>
      </c>
      <c r="D1338" s="7" t="n">
        <f>HYPERLINK("https://www.somogyi.hu/product/sal-bta-250-sztereo-multimedia-erosito-2x50-wmax-4-8-ohm-bt-fm-radio-usb-aux-bta-250-17963","https://www.somogyi.hu/product/sal-bta-250-sztereo-multimedia-erosito-2x50-wmax-4-8-ohm-bt-fm-radio-usb-aux-bta-250-17963")</f>
        <v>0.0</v>
      </c>
      <c r="E1338" s="7" t="n">
        <f>HYPERLINK("https://www.somogyi.hu/data/img/product_main_images/small/17963.jpg","https://www.somogyi.hu/data/img/product_main_images/small/17963.jpg")</f>
        <v>0.0</v>
      </c>
      <c r="F1338" s="2" t="inlineStr">
        <is>
          <t>5999084959852</t>
        </is>
      </c>
      <c r="G1338" s="4" t="inlineStr">
        <is>
          <t>Egy kompakt erősítőt keres, amely minden igényt kielégítő funkciókkal javítja otthoni hangrendszerét? Fedezze fel a SAL BTA 250 sztereó multimédia erősítőt, amely a kifinomult technológia és stílus tökéletes kombinációját kínálja.
A prémium szálcsiszolt alumínium előlappal rendelkező SAL BTA 250 esztétikailag is kiemelkedik, miközben a digitális és analóg bemenetek széles választékával biztosítja, hogy bármilyen modern audiókészülék csatlakoztatható legyen. Akár a tévé hangminőségét szeretné javítani, akár USB-ről szeretne zenét lejátszani, ez az erősítő mindenre képes.
A beépített Bluetooth kapcsolat lehetővé teszi, hogy vezeték nélkül streamelje kedvenc zenéit mobilkészülékéről vagy számítógépről. Az FM rádió automatikus hangolása, a két karaoke mikrofon bemenet, valamint a magas- és mély hangszínszabályozás biztosítja, hogy a hangélmény minden körülmények között személyre szabható legyen.
A rendkívül kompakt méretek (200 x 65 x 150/170 mm) ellenére erős, 2 x 50 wattos kimeneti teljesítményt biztosít, így akár nagyobb terekben is kitűnően teljesít. A mellékelt távirányítóval egyszerűen irányíthatja az összes funkciót, így a kényelem garantált.
Bővítse ki otthoni szórakoztató rendszerét a SAL BTA 250 multimédia erősítővel, és élvezze a kristálytiszta hangzást, amely életre kelti a zenét és a filmeket! Ne feledje, az erősítő két hangdoboz csatlakoztatását igényli a teljes élményhez.</t>
        </is>
      </c>
    </row>
    <row r="1339">
      <c r="A1339" s="3" t="inlineStr">
        <is>
          <t>BT2000</t>
        </is>
      </c>
      <c r="B1339" s="2" t="inlineStr">
        <is>
          <t>SAL BT2000 boombox, 2x10W, MP3 zenelejátszó, Bluetooth, mélysugárzó, basszus, RGB LED fényjáték, beépített akkumulátor, IPX5</t>
        </is>
      </c>
      <c r="C1339" s="1" t="n">
        <v>13790.0</v>
      </c>
      <c r="D1339" s="7" t="n">
        <f>HYPERLINK("https://www.somogyi.hu/product/sal-bt2000-boombox-2x10w-mp3-zenelejatszo-bluetooth-melysugarzo-basszus-rgb-led-fenyjatek-beepitett-akkumulator-ipx5-bt2000-18933","https://www.somogyi.hu/product/sal-bt2000-boombox-2x10w-mp3-zenelejatszo-bluetooth-melysugarzo-basszus-rgb-led-fenyjatek-beepitett-akkumulator-ipx5-bt2000-18933")</f>
        <v>0.0</v>
      </c>
      <c r="E1339" s="7" t="n">
        <f>HYPERLINK("https://www.somogyi.hu/data/img/product_main_images/small/18933.jpg","https://www.somogyi.hu/data/img/product_main_images/small/18933.jpg")</f>
        <v>0.0</v>
      </c>
      <c r="F1339" s="2" t="inlineStr">
        <is>
          <t>5999084969271</t>
        </is>
      </c>
      <c r="G1339" s="4" t="inlineStr">
        <is>
          <t>Hogyan varázsolhatja felejthetetlenné a bulit vagy az otthoni zenehallgatást egy sokoldalú boombox?
A SAL BT2000 boombox nem csupán egy egyszerű hangszóró, hanem egy dinamikus zenei központ, amely kiváló hangzással, Bluetooth kapcsolattal és lenyűgöző fényjátékkal teszi különlegessé a zenehallgatási élményt. Bárhol is van, a SAL BT2000 biztosítja a szórakozást, legyen szó egy kis összejövetelről vagy egy hétvégi pihenésről.
Telt, dinamikus hangzás és erőteljes basszus
A 2x10 W-os sztereó hangszórók tiszta, kiegyensúlyozott hangzást biztosítanak, amelyet a hátoldalon elhelyezett nagyméretű mélysugárzó tesz még ütősebbé. A basszus erőteljes, a közép- és magas frekvenciák élesek, így a zenei részletek teljes pompájukban élvezhetők. Ideális választás zenelejátszáshoz, akár otthon, akár szabadtéren.
Széleskörű csatlakozási lehetőségek
A SAL BT2000 sztereó vezeték nélküli Bluetooth kapcsolattal rendelkezik, amely lehetővé teszi, hogy bármely kompatibilis eszközről kényelmesen játssza le kedvenc zenéit. Emellett USB és microSD eszközről történő zenelejátszást is támogat, valamint sztereó AUX bemenettel is rendelkezik, hogy számítógépekhez vagy egyéb eszközökhöz is egyszerűen csatlakoztatható legyen.
Telefonkihangosító és integrált LED fényjáték
A beépített telefonkihangosító funkció segítségével könnyedén fogadhat hívásokat anélkül, hogy megszakítaná a zenelejátszást. A zenei élményhez tökéletesen illeszkedő RGB LED fényjáték – amely hangra változó fényeffekteket is kínál – egyedi atmoszférát teremt. Ha a látványos fényekre éppen nincs szükség, a funkció egyszerűen kikapcsolható.
Masszív konstrukció és vízállóság az IPX5 védelemmel
A SAL BT2000 masszív és stabil kialakításának köszönhetően álló és fekvő pozícióban egyaránt használható. Az IPX5-ös védelem biztosítja, hogy a készülék ellenálljon a fröccsenő víznek vagy vízsugárnak, így ideális kültéri használatra is.
Beépített akkumulátor hosszú üzemidővel
A beépített akkumulátor akár 11 órás folyamatos zenelejátszást tesz lehetővé, mindössze 6 órás töltési idő mellett. A csomag tartalmazza az USB-C töltőkábelt, és a gyártó javaslata alapján SA 24USB vagy SA 50USB töltővel érhető el az optimális töltési teljesítmény.
Miért érdemes a SAL BT2000 boomboxot választani?
- Kiemelkedő sztereó hangzás nagyméretű mélysugárzóval és erőteljes basszussal
- Bluetooth, USB, microSD és AUX csatlakozás a sokoldalú használatért
- Telefonkihangosító funkció a kényelmes hívásfogadásért
- RGB LED fényjáték hangra változó effektekkel, kikapcsolható funkcióval
- IPX5 vízállóság kültéri használatra
- Beépített akkumulátor akár 11 órás üzemidővel
Ne hagyja, hogy a zenehallgatás hétköznapivá váljon! Válassza a SAL BT2000 boomboxot, és hozza ki a legtöbbet a kedvenc zenéiből, legyen szó buliról vagy pihenésről!</t>
        </is>
      </c>
    </row>
    <row r="1340">
      <c r="A1340" s="3" t="inlineStr">
        <is>
          <t>BTA 215</t>
        </is>
      </c>
      <c r="B1340" s="2" t="inlineStr">
        <is>
          <t>SAL BTA 215 vezeték nélküli BT erősítő, 2x15 W / 4 Ohm, 2x10 W / 8 Ohm, 20 Hz - 20.000 Hz</t>
        </is>
      </c>
      <c r="C1340" s="1" t="n">
        <v>19390.0</v>
      </c>
      <c r="D1340" s="7" t="n">
        <f>HYPERLINK("https://www.somogyi.hu/product/sal-bta-215-vezetek-nelkuli-bt-erosito-2x15-w-4-ohm-2x10-w-8-ohm-20-hz-20-000-hz-bta-215-17856","https://www.somogyi.hu/product/sal-bta-215-vezetek-nelkuli-bt-erosito-2x15-w-4-ohm-2x10-w-8-ohm-20-hz-20-000-hz-bta-215-17856")</f>
        <v>0.0</v>
      </c>
      <c r="E1340" s="7" t="n">
        <f>HYPERLINK("https://www.somogyi.hu/data/img/product_main_images/small/17856.jpg","https://www.somogyi.hu/data/img/product_main_images/small/17856.jpg")</f>
        <v>0.0</v>
      </c>
      <c r="F1340" s="2" t="inlineStr">
        <is>
          <t>5999084958787</t>
        </is>
      </c>
      <c r="G1340" s="4" t="inlineStr">
        <is>
          <t>Szeretné hangrendszerét egyszerűen és modern módon vezérelni? A SAL BTA 215 vezeték nélküli Bluetooth erősítő kompakt méretével, nagy teljesítményével és sokoldalú funkcióival ideális választás mind otthoni, mind professzionális zenehallgatáshoz. Ez az erősítő a HiFi technológia és a legmodernebb Bluetooth kapcsolódás előnyeit ötvözi, hogy bármilyen zenei forrásból tökéletes hangzást biztosítson.
Kiemelkedő teljesítmény és sokoldalúság
A SAL BTA 215 erősítő kimenőteljesítménye két csatornán 15 W / 4 Ohm, illetve 10 W / 8 Ohm, amely ideális különböző hangszórók meghajtására. A készülék frekvenciaátvitele 20 Hz – 20.000 Hz között van, amely garantálja a mély basszusoktól a tiszta magas hangokig terjedő kiváló hangzást. A sztereo térhatás lenyűgöző hangélményt nyújt, legyen szó zenehallgatásról vagy filmekről.
Vezeték nélküli Bluetooth kapcsolat és könnyű vezérlés
A Bluetooth 5.0 kapcsolat akár 10 méteres hatótávolságot biztosít, így kényelmesen csatlakoztathatja mobiltelefonját, táblagépét vagy számítógépét. A magas és mély hangszínszabályozó lehetővé teszi, hogy a hangerőt és a hangszínt közvetlenül a Bluetooth forráson állítsa be, így a zenehallgatás teljesen az Ön igényeihez igazítható.
Kompakt és könnyen kezelhető kialakítás
A 155 x 36 x 54 mm méretű és mindössze 0,13 kg súlyú készülék rendkívül könnyen hordozható és egyszerűen telepíthető. A csavaros sorkapcsok lehetővé teszik a két külső hangszóró gyors és biztonságos csatlakoztatását. A javasolt hangszórótípusok – például SAL 150, BXB 10050P, vagy MRPX 2-165 – kiválóan kompatibilisek az erősítővel, így maximális hangélményt érhet el.
Praktikus és energiatakarékos működés
A HiFi „D” osztályú áramkör energiatakarékos működést garantál, miközben megőrzi a prémium hangminőséget. A 230 V-os tápellátású készülék tartozék hálózati csatlakozókábellel érkezik, így azonnal használatra kész.
Válassza a SAL BTA 215 Bluetooth erősítőt, és élvezze a kiváló hangminőséget modern technológiával – tegye teljessé hangrendszerét ezzel a sokoldalú eszközzel!</t>
        </is>
      </c>
    </row>
    <row r="1341">
      <c r="A1341" s="3" t="inlineStr">
        <is>
          <t>BT DOG</t>
        </is>
      </c>
      <c r="B1341" s="2" t="inlineStr">
        <is>
          <t>SAL BT DOG hordozható multimédia-hangszóró, 5 W, BT, FM rádió, ~5 óra üzemidő, USB, MicroSD</t>
        </is>
      </c>
      <c r="C1341" s="1" t="n">
        <v>9890.0</v>
      </c>
      <c r="D1341" s="7" t="n">
        <f>HYPERLINK("https://www.somogyi.hu/product/sal-bt-dog-hordozhato-multimedia-hangszoro-5-w-bt-fm-radio-5-ora-uzemido-usb-microsd-bt-dog-17724","https://www.somogyi.hu/product/sal-bt-dog-hordozhato-multimedia-hangszoro-5-w-bt-fm-radio-5-ora-uzemido-usb-microsd-bt-dog-17724")</f>
        <v>0.0</v>
      </c>
      <c r="E1341" s="7" t="n">
        <f>HYPERLINK("https://www.somogyi.hu/data/img/product_main_images/small/17724.jpg","https://www.somogyi.hu/data/img/product_main_images/small/17724.jpg")</f>
        <v>0.0</v>
      </c>
      <c r="F1341" s="2" t="inlineStr">
        <is>
          <t>5999084957469</t>
        </is>
      </c>
      <c r="G1341" s="4" t="inlineStr">
        <is>
          <t>Ön is szeretne egy szokatlan, stílusos kiegészítőt a nappalijába vagy irodájába? Fedezze fel a SAL BT DOG hordozható multimédia-hangszórót, amely nemcsak praktikus, hanem dekoratív elem is lehet otthonában!
Ez a különleges kialakítású multimédia-hangszóró, amelynek feje elfordítható, garantáltan feldobja a hangulatot bármilyen környezetben. Kompakt mérete ellenére viszonylag erős, 5 wattos hangkimenettel rendelkezik, így tökéletesen alkalmas kedvenc dalainak megszólaltatására. A vezeték nélküli Bluetooth kapcsolat révén egyszerűen összekapcsolható bármely okoseszközzel, így zenehallgatás közben sem kell messze lennie a telefonjától.
A beépített FM rádió automatikus kereséssel és az USB/microSD kártyaolvasó funkciók révén a SAL BT DOG sokoldalú szórakoztatást nyújt, legyen szó rádióműsorról vagy saját playlist lejátszásáról. A beépített 18650-es akkumulátor akár 5 órás folyamatos működést is biztosíthat egyetlen töltéssel, ami körülbelül 3 óráig tart.
Tartozék USB-microUSB töltőkábellel könnyedén tölthető számítógépről vagy hálózati adapterről, melyet külön kell megvásárolni. Bár ez a termék nem játék, és nem ajánlott gyermek számára, minden zene- és technológia szerető felnőtt számára ideális választás lehet.
Vigye haza a SAL BT DOG multimédia-hangszórót, és hozzon egy kis extrát a mindennapokba! Hallgassa kedvenc zenéit stílusosan, ahol csak szeretné!</t>
        </is>
      </c>
    </row>
    <row r="1342">
      <c r="A1342" s="3" t="inlineStr">
        <is>
          <t>SAL 250BT</t>
        </is>
      </c>
      <c r="B1342" s="2" t="inlineStr">
        <is>
          <t>SAL, SAL 250 BT multimédiás hangdobozpár, 2 x 120 W, 3 utas Bass-reflex, BT, USB, SD, FM, 2 x RCA, 2 x 6,3mm jack, EQ</t>
        </is>
      </c>
      <c r="C1342" s="1" t="n">
        <v>124990.0</v>
      </c>
      <c r="D1342" s="7" t="n">
        <f>HYPERLINK("https://www.somogyi.hu/product/sal-sal-250-bt-multimedias-hangdobozpar-2-x-120-w-3-utas-bass-reflex-bt-usb-sd-fm-2-x-rca-2-x-6-3mm-jack-eq-sal-250bt-17911","https://www.somogyi.hu/product/sal-sal-250-bt-multimedias-hangdobozpar-2-x-120-w-3-utas-bass-reflex-bt-usb-sd-fm-2-x-rca-2-x-6-3mm-jack-eq-sal-250bt-17911")</f>
        <v>0.0</v>
      </c>
      <c r="E1342" s="7" t="n">
        <f>HYPERLINK("https://www.somogyi.hu/data/img/product_main_images/small/17911.jpg","https://www.somogyi.hu/data/img/product_main_images/small/17911.jpg")</f>
        <v>0.0</v>
      </c>
      <c r="F1342" s="2" t="inlineStr">
        <is>
          <t>5999084959333</t>
        </is>
      </c>
      <c r="G1342" s="4" t="inlineStr">
        <is>
          <t>Olyan hangdobozokat keres, amelyek tökéletesen ötvözik a lenyűgöző teljesítményt, modern funkciókat és időtálló designt? A SAL 250 BT multimédiás hangdobozpár minden zene- és filmkedvelő számára ideális választás, hiszen 2 x 120 W-os teljesítményével, 3 utas Bass-reflex kialakításával és számos csatlakozási lehetőségével páratlan hangélményt kínál. Ez a hangdobozpár nemcsak a zenehallgatást, hanem akár karaoke-partikat vagy TV-hangzás javítását is tökéletesen kiszolgálja.
Kiemelkedő hangteljesítmény és minőség
A 3 utas Bass-reflex kialakítás mély, közép és magas hangszórókkal biztosítja a teljes frekvenciatartományt, 30 Hz-től egészen 20.000 Hz-ig. A mélyhangokért egy 250 mm-es, a középfrekvenciákért egy 110 mm-es, míg a tiszta magas hangokért egy 40 mm-es hangszóró felel, így garantált a kiegyensúlyozott és dinamikus hangzás. A 2 x 120 W-os maximális kimenőteljesítmény révén ez a hangdobozpár ideális közepes és nagyobb terek hangosítására is.
Széleskörű csatlakozási lehetőségek
A vezeték nélküli Bluetooth kapcsolatnak köszönhetően egyszerűen csatlakoztathatja mobilkészülékét vagy számítógépét, de USB és SD kártyával is könnyedén lejátszhat MP3, WMA, FLAC, APE vagy WAV formátumú zenéket. A két RCA bemenet és a két 6,3 mm-es jack mikrofonbemenet lehetővé teszi a karaoke funkció használatát, amely szabályozható visszhanggal még szórakoztatóbbá teszi az élményt. Az FM rádió automatikus és manuális állomáskereséssel is rendelkezik, hogy mindig megtalálhassa kedvenc adóját.
Felhasználóbarát vezérlés és modern dizájn
Az érintőgombos kezelés és a távirányító kényelmes irányítást biztosít, miközben a digitális LED kijelző állítható fényereje elegáns megjelenést kölcsönöz. Az időzíthető automatikus kikapcsolás funkció energiatakarékos működést garantál, míg a klasszikus, masszív MDF fa konstrukció biztosítja a készülék időtállóságát és stabilitását.
További kényelmi funkciók
A hangdobozpár különösen ajánlott TV hangzásának javítására, a kiváló sztereó térhatás pedig még valósághűbb élményt nyújt. A készlet tartalmaz dísztalpakat, audio csatlakozókábelt és távirányítót, hogy azonnal használatba vehesse a rendszert. A két hangdoboz közötti vezeték hossza 250 cm, így rugalmas elhelyezést tesz lehetővé.
Válassza a SAL 250 BT multimédiás hangdobozpárt, és emelje zenehallgatási élményeit egy új szintre – tökéletes választás minden alkalomra, legyen szó otthoni szórakozásról vagy professzionális használatról!</t>
        </is>
      </c>
    </row>
    <row r="1343">
      <c r="A1343" s="3" t="inlineStr">
        <is>
          <t>SAL 200BT</t>
        </is>
      </c>
      <c r="B1343" s="2" t="inlineStr">
        <is>
          <t>SAL 200BT multimédiás hangdobozpár, 2 x 80 W, 3 utas Bass-reflex, Bluetooth, USB, SD, FM, 2 x RCA, 2 x 6,3mm jack, EQ</t>
        </is>
      </c>
      <c r="C1343" s="1" t="n">
        <v>91790.0</v>
      </c>
      <c r="D1343" s="7" t="n">
        <f>HYPERLINK("https://www.somogyi.hu/product/sal-200bt-multimedias-hangdobozpar-2-x-80-w-3-utas-bass-reflex-bluetooth-usb-sd-fm-2-x-rca-2-x-6-3mm-jack-eq-sal-200bt-17907","https://www.somogyi.hu/product/sal-200bt-multimedias-hangdobozpar-2-x-80-w-3-utas-bass-reflex-bluetooth-usb-sd-fm-2-x-rca-2-x-6-3mm-jack-eq-sal-200bt-17907")</f>
        <v>0.0</v>
      </c>
      <c r="E1343" s="7" t="n">
        <f>HYPERLINK("https://www.somogyi.hu/data/img/product_main_images/small/17907.jpg","https://www.somogyi.hu/data/img/product_main_images/small/17907.jpg")</f>
        <v>0.0</v>
      </c>
      <c r="F1343" s="2" t="inlineStr">
        <is>
          <t>5999084959296</t>
        </is>
      </c>
      <c r="G1343" s="4" t="inlineStr">
        <is>
          <t>Szeretné, ha otthoni zenehallgatás közben is profi, dinamikus hangzást élvezhetne, mintha egy koncertteremben lenne? A SAL 200BT multimédiás hangdobozpár nemcsak ezt nyújtja, hanem sokoldalú funkcionalitásával és masszív kialakításával új szintre emeli az otthoni audioélményt.
Ez a hangrendszer valódi Hi-Fi élményt biztosít a tranzisztoros erősítő révén, amely kristálytiszta, erőteljes hangzást ad, akár 2 x 80 W teljesítménnyel. A 3 utas, bass-reflex kivitel gondoskodik arról, hogy a mélyhangok erőteljesek, a közép- és magas hangok pedig tiszták legyenek, tökéletes egyensúlyban. Ez az ideális választás azok számára, akik szeretik a dinamikus sztereo hangzást, és szívesen javítanák tévéjük hangminőségét is.
A hangdobozpár vezeték nélküli Bluetooth kapcsolattal rendelkezik, így zenelejátszás egyszerűen megoldható mobiltelefonról vagy számítógépről is. Az eszköz továbbá támogatja az USB eszközök és SD kártyák csatlakoztatását, így közvetlenül játszhatja le kedvenc zenéit tárolóeszközeiről. Emellett a beépített FM rádió automatikus és manuális hangolással rendelkezik, így könnyen megtalálhatja kedvenc rádióállomásait és el is mentheti őket.
A 2 x RCA vezetékes sztereo audio bemenet révén a hangrendszer könnyedén csatlakoztatható más audioforrásokhoz is, ideális például televíziókhoz, ha jobb hangminőséget szeretne. A karaoke rajongók számára különösen előnyös a két 6,3 mm-es mikrofonbemenet és a szabályozható visszhang funkció, amely teljessé teszi a szórakozást. A hangzás testre szabható a magas és mély hangszínszabályozó EQ segítségével, így mindig az adott műfajhoz igazíthatja a hangzást.
Az elegáns MDF fa konstrukció nemcsak esztétikus, de robusztus is, így hosszú távon is megbízhatóan működik. A LED kijelző fényereje állítható, a rendszer pedig érintőgombokkal is vezérelhető, ami modern és könnyen kezelhető felhasználói élményt biztosít. A csomag tartalmaz egy távirányítót, amely két AAA elemmel működik (nem tartozék), valamint a szükséges audio csatlakozókábelt és dísztalpakat, amelyek a hangdobozok stabilitásáról gondoskodnak.
Ne várjon tovább! A SAL 200BT multimédiás hangdobozpár tökéletes választás minden zene- és filmrajongó számára, aki prémium minőségű hangzást és sokoldalúságot keres. Rendelje meg most, és hozza ki a legtöbbet az otthoni szórakozásból!</t>
        </is>
      </c>
    </row>
    <row r="1344">
      <c r="A1344" s="3" t="inlineStr">
        <is>
          <t>BT 2600</t>
        </is>
      </c>
      <c r="B1344" s="2" t="inlineStr">
        <is>
          <t>Hordozható multimédia hangszóró</t>
        </is>
      </c>
      <c r="C1344" s="1" t="n">
        <v>7690.0</v>
      </c>
      <c r="D1344" s="7" t="n">
        <f>HYPERLINK("https://www.somogyi.hu/product/hordozhato-multimedia-hangszoro-bt-2600-16694","https://www.somogyi.hu/product/hordozhato-multimedia-hangszoro-bt-2600-16694")</f>
        <v>0.0</v>
      </c>
      <c r="E1344" s="7" t="n">
        <f>HYPERLINK("https://www.somogyi.hu/data/img/product_main_images/small/16694.jpg","https://www.somogyi.hu/data/img/product_main_images/small/16694.jpg")</f>
        <v>0.0</v>
      </c>
      <c r="F1344" s="2" t="inlineStr">
        <is>
          <t>5999084947262</t>
        </is>
      </c>
      <c r="G1344" s="4" t="inlineStr">
        <is>
          <t>A BT 2600 Multimédiás hangszóró hordozható kivitelben készült ébresztőórával. Elhelyezheti a ház bármely pontjában, de akár magával is viheti utazásokhoz. A készülék előnyös tulajdonsága, hogy telefonbeszélgetéseket is tud folytatni a beépített mikrofon segítségével.
A multimédiás hangszóró vezetékes STEREO AUX bemenettel (3,5 mm) ellátott. A beépített Li-Ion akkumulátor akár 12 óra üzemidőre képes egyhuzamban. 
A készülék vezeték nélküli BT kapcsolattal csatlakoztatható mobiltelefonhoz és számítógéphez is egyaránt. Ha pedig a rádiót szeretné hallgatni, úgy automatikus hangolással beállíthatóak rajta a csatornák. A hordozható hangszóró MP3 lejátszást is biztosít USB/ microSD kártyáról.
A multimédiás hangszóró tartozékai az USB- microUSB töltőkábel (0,5 m) és 2x 3,5 mm audio/FM kábel (0,5 m).</t>
        </is>
      </c>
    </row>
    <row r="1345">
      <c r="A1345" s="3" t="inlineStr">
        <is>
          <t>RRT 6B</t>
        </is>
      </c>
      <c r="B1345" s="2" t="inlineStr">
        <is>
          <t>SAL RRT 6B retro táskarádió, multimédia lejátszó, 6 in 1, BT, USB, MicroSD, AUX, FM rádió, kihangosító, beépített mikrofon</t>
        </is>
      </c>
      <c r="C1345" s="1" t="n">
        <v>21990.0</v>
      </c>
      <c r="D1345" s="7" t="n">
        <f>HYPERLINK("https://www.somogyi.hu/product/sal-rrt-6b-retro-taskaradio-multimedia-lejatszo-6-in-1-bt-usb-microsd-aux-fm-radio-kihangosito-beepitett-mikrofon-rrt-6b-17952","https://www.somogyi.hu/product/sal-rrt-6b-retro-taskaradio-multimedia-lejatszo-6-in-1-bt-usb-microsd-aux-fm-radio-kihangosito-beepitett-mikrofon-rrt-6b-17952")</f>
        <v>0.0</v>
      </c>
      <c r="E1345" s="7" t="n">
        <f>HYPERLINK("https://www.somogyi.hu/data/img/product_main_images/small/17952.jpg","https://www.somogyi.hu/data/img/product_main_images/small/17952.jpg")</f>
        <v>0.0</v>
      </c>
      <c r="F1345" s="2" t="inlineStr">
        <is>
          <t>5999084959746</t>
        </is>
      </c>
      <c r="G1345" s="4" t="inlineStr">
        <is>
          <t>Nosztalgikus hangulatot keres, modern technológiával ötvözve? A SAL RRT 6B retro táskarádió pontosan ezt kínálja!
Ez a multifunkcionális eszköz HiFi STEREO zenelejátszással, 2x5 Watt teljesítménnyel garantálja a kiváló hangminőséget, miközben 6in1 funkcionalitása révén a legkülönfélébb zenei igényeket is kielégíti. Bluetooth kapcsolaton keresztül streamelheti kedvenc dalait mobilkészülékéről vagy számítógépéről, emellett USB-n és microSD-n keresztül is lejátszhatja digitális zenegyűjteményét. Az AUX IN és a 3,5 mm-es fejhallgató csatlakozó aljzat biztosítja a hagyományos vezetékes kapcsolódást, míg az integrált mikrofon lehetővé teszi a kéz nélküli telefonhívásokat.
A táskarádió kétsávos (AM/FM) rádióval is rendelkezik, így nem marad le a kedvenc rádióműsorairól sem. A Soft Touch bevonat és a retro szövet borítás esztétikus, miközben a beépített akkumulátor hosszú, akár 22 órás üzemidőt biztosít egyetlen töltéssel. A csomag tartalmaz egy USB-microUSB töltőkábelt és egy 3,5 mm audio kábelt is, így minden szükséges kiegészítőt megkap az azonnali használathoz.
Fedezze fel a SAL RRT 6B retro táskarádióval a múltat modern kivitelben, és hozza vissza a régi idők stílusát. Tegye élvezetessé a zenehallgatást, ahol csak szeretné!</t>
        </is>
      </c>
    </row>
    <row r="1346">
      <c r="A1346" s="3" t="inlineStr">
        <is>
          <t>BT 3000</t>
        </is>
      </c>
      <c r="B1346" s="2" t="inlineStr">
        <is>
          <t>SAL BT 3000 hordozható bluetooth kihangosító, 2 x 16 W, sztereó boombox, USB, beépített mikrofon, RGB LED, ~4,5 óra üzemidő</t>
        </is>
      </c>
      <c r="C1346" s="1" t="n">
        <v>16290.0</v>
      </c>
      <c r="D1346" s="7" t="n">
        <f>HYPERLINK("https://www.somogyi.hu/product/sal-bt-3000-hordozhato-bluetooth-kihangosito-2-x-16-w-sztereo-boombox-usb-beepitett-mikrofon-rgb-led-4-5-ora-uzemido-bt-3000-18003","https://www.somogyi.hu/product/sal-bt-3000-hordozhato-bluetooth-kihangosito-2-x-16-w-sztereo-boombox-usb-beepitett-mikrofon-rgb-led-4-5-ora-uzemido-bt-3000-18003")</f>
        <v>0.0</v>
      </c>
      <c r="E1346" s="7" t="n">
        <f>HYPERLINK("https://www.somogyi.hu/data/img/product_main_images/small/18003.jpg","https://www.somogyi.hu/data/img/product_main_images/small/18003.jpg")</f>
        <v>0.0</v>
      </c>
      <c r="F1346" s="2" t="inlineStr">
        <is>
          <t>5999084960254</t>
        </is>
      </c>
      <c r="G1346" s="4" t="inlineStr">
        <is>
          <t>Szeretné a különleges hangélményt hordozható formában élvezni? A SAL BT 3000 bluetooth kihangosító tökéletes választás lehet azok számára, akik nem akarnak kompromisszumot kötni a hangminőség terén.
Ez a készülék IPX4 vízálló védelemmel büszkélkedik, így nem kell aggódnia a fröccsenő víz miatt. A beépített, nagy teljesítményű erősítő és a kettős oldali dinamikus mélysugárzók kiváló, térhatású hangzást biztosítanak. A dupla hangerő és kiterjesztett stereo élményért két azonos Boom-Box egyszerűen és vezeték nélkül párosítható, így még lenyűgözőbb hangzást érhet el.
A készülékben található beépített mikrofonnak köszönhetően a hívásfogadás is gyerekjáték, míg az MP3 lejátszás USB-ről történő lehetősége széleskörű felhasználhatóságot biztosít. A kikapcsolható RGB LED fényeffektekkel pedig saját hangulatát hozhatja létre. A textilbevonatú burkolat elegáns megjelenést kölcsönöz, míg az eltávolítható hordfül megkönnyíti a szállítást.
A beépített akkumulátor hosszú üzemidőt garantál: töltése csupán 4,5 óra, míg működési ideje akár 10 óra is lehet. A csomag tartalmaz egy USB-C töltőkábelt és egy 3,5 mm-es audio kábelt, így minden szükséges tartozékot biztosítunk a zökkenőmentes használathoz.
Ha Ön is prémium hangminőségre vágyik bárhol, bármikor, válassza a SAL BT 3000 bluetooth kihangosítót, és élvezze a zavartalan és magával ragadó hangélményt, akár otthon, akár útközben.</t>
        </is>
      </c>
    </row>
    <row r="1347">
      <c r="A1347" s="3" t="inlineStr">
        <is>
          <t>BT 201</t>
        </is>
      </c>
      <c r="B1347" s="2" t="inlineStr">
        <is>
          <t>SAL BT 201, 2.1 multimédia hangrendszer, 2x15 W sztereó + 50 W mélynyomó, BT, FM rádió, EQ, 5 fokozatú LED kijelző</t>
        </is>
      </c>
      <c r="C1347" s="1" t="n">
        <v>22590.0</v>
      </c>
      <c r="D1347" s="7" t="n">
        <f>HYPERLINK("https://www.somogyi.hu/product/sal-bt-201-2-1-multimedia-hangrendszer-2x15-w-sztereo-50-w-melynyomo-bt-fm-radio-eq-5-fokozatu-led-kijelzo-bt-201-16383","https://www.somogyi.hu/product/sal-bt-201-2-1-multimedia-hangrendszer-2x15-w-sztereo-50-w-melynyomo-bt-fm-radio-eq-5-fokozatu-led-kijelzo-bt-201-16383")</f>
        <v>0.0</v>
      </c>
      <c r="E1347" s="7" t="n">
        <f>HYPERLINK("https://www.somogyi.hu/data/img/product_main_images/small/16383.jpg","https://www.somogyi.hu/data/img/product_main_images/small/16383.jpg")</f>
        <v>0.0</v>
      </c>
      <c r="F1347" s="2" t="inlineStr">
        <is>
          <t>5999084944155</t>
        </is>
      </c>
      <c r="G1347" s="4" t="inlineStr">
        <is>
          <t>A BT 201 2.1 Multimédiás hangrendszer segítségével hallgassa kedvenc zenéit, tegye élethűvé a filmek hangzását. A minőségi MDF fa és műanyagból készült mélysugárzó és hangdobozok igényes kidolgozással készültek. A kiváló hangzásról a 2.1 Sztereó és mélysugárzó hangrendszer gondoskodik. 2 db 15 W sztereó és 50 W mély hangszóróval ellátott. 
A készülék vezeték nélküli BT kapcsolattal csatlakoztatható mobiltelefonhoz és számítógéphez is egyaránt. Ha pedig a rádiót szeretné hallgatni, úgy automatikus vagy kézi hangolással beállíthatóak rajta a csatornák. A hangrendszer MP3 lejátszást is biztosít USB eszközről. Számos beállítási lehetőség közül választhat: 5+1 féle EQ hangszínbeállítások, 5 fokozatban állítható fényerejű LED kijelző. 
A hangrendszer nem csak USB bemenettel ellátott, de vezetékes AUX stereo audio (3,5mm) bemenettel is. 
A hangrendszer tartalmazza a mélysugárzót, hangdobozokat, a távirányítót, 3,5 mm - 3,5 mm AUX kábelt (1,2 m), antennavezetéket (1,5 m) és a hangszóró vezetéket (2 x 1,2 m).</t>
        </is>
      </c>
    </row>
    <row r="1348">
      <c r="A1348" s="3" t="inlineStr">
        <is>
          <t>BT9000</t>
        </is>
      </c>
      <c r="B1348" s="2" t="inlineStr">
        <is>
          <t>SAL BT9000 hordozható boombox, vezeték nélküli hangszóró, 100 W, IPX5, BT TWS, AUX, USB/microSD, Soft Touch gombok, ~10 h üzemidő, USB-C töltőkábel</t>
        </is>
      </c>
      <c r="C1348" s="1" t="n">
        <v>81690.0</v>
      </c>
      <c r="D1348" s="7" t="n">
        <f>HYPERLINK("https://www.somogyi.hu/product/sal-bt9000-hordozhato-boombox-vezetek-nelkuli-hangszoro-100-w-ipx5-bt-tws-aux-usb-microsd-soft-touch-gombok-10-h-uzemido-usb-c-toltokabel-bt9000-18464","https://www.somogyi.hu/product/sal-bt9000-hordozhato-boombox-vezetek-nelkuli-hangszoro-100-w-ipx5-bt-tws-aux-usb-microsd-soft-touch-gombok-10-h-uzemido-usb-c-toltokabel-bt9000-18464")</f>
        <v>0.0</v>
      </c>
      <c r="E1348" s="7" t="n">
        <f>HYPERLINK("https://www.somogyi.hu/data/img/product_main_images/small/18464.jpg","https://www.somogyi.hu/data/img/product_main_images/small/18464.jpg")</f>
        <v>0.0</v>
      </c>
      <c r="F1348" s="2" t="inlineStr">
        <is>
          <t>5999084964825</t>
        </is>
      </c>
      <c r="G1348" s="4" t="inlineStr">
        <is>
          <t>Egy hordozható hangszóró, amely egyszerre nyújt erőt, stílust és sokoldalúságot? A SAL BT9000 boombox minden olyan igényt kielégít, amelyet egy modern, hordozható audió eszköztől elvárhat. A 100 W-os teljesítmény, a prémium anyaghasználat és a lenyűgöző funkciók teszik tökéletes választássá, legyen szó szabadtéri bulikról, otthoni zenehallgatásról vagy éppen professzionális felhasználásról.
Teljesítmény és kiváló hangminőség
A SAL BT9000 boombox összesen 7 hangszóróval – 2 magas, 2 közép, 1 basszus és 2 passzív mélysugárzó – biztosítja a dinamikus, részletgazdag hangzást. A 40 – 20.000 Hz frekvenciatartomány garantálja, hogy a mély basszusoktól a tiszta magas hangokig minden részlet hallható legyen. A 100 W teljesítményével ideális akár nagyobb terek hangosítására is.
Vezeték nélküli szabadság és sokoldalú csatlakozás
A Bluetooth 5.0 kapcsolat kiváló stabilitást és akár 10 méteres hatótávolságot nyújt, így egyszerűen csatlakoztathatja okoseszközeit. A TWS funkció lehetővé teszi két SAL BT9000 boombox párosítását, hogy még gazdagabb sztereó térhatást érjen el. Az USB, microSD és AUX bemenetekkel különböző forrásokból is lejátszhatja kedvenc zenéit, akár 64 GB-os memóriával is kompatibilis.
Praktikus kialakítás és hosszú üzemidő
A készülék 15600 mAh kapacitású, beépített akkumulátora akár 10 órás üzemidőt is biztosít, míg a töltés mindössze 7 órát vesz igénybe. A tartozék USB-C töltőkábel gyors és kényelmes energiavisszatöltést tesz lehetővé. A boombox IPX5 védettsége révén ellenáll a fröccsenő víznek, így kültéri használatra is alkalmas. A Soft Touch gombok és a textil bevonat elegáns és könnyen kezelhető dizájnt kölcsönöznek az eszköznek.
Hangulatvilágítás és extrák
A színváltó LED világítás különleges atmoszférát teremt, amely igény szerint kikapcsolható. A heveder és a 4,7 kg-os tömeg lehetővé teszi a könnyű hordozhatóságot, így a zene bármikor és bárhol Önnel lehet. A boombox exkluzív, prémium megjelenése tökéletesen illeszkedik bármilyen környezetbe.
Válassza a SAL BT9000 boomboxot, és élvezze a lenyűgöző teljesítményt, modern funkciókat és a prémium dizájnt – tegye különlegessé zenei élményeit minden alkalommal!</t>
        </is>
      </c>
    </row>
    <row r="1349">
      <c r="A1349" s="3" t="inlineStr">
        <is>
          <t>RRT 11B</t>
        </is>
      </c>
      <c r="B1349" s="2" t="inlineStr">
        <is>
          <t>SAL RRT 11B retro kazettás rádió, multimédia lejátszó, kazettás magnó, beépített mikrofon, hangrögzítés, AUX, USB/MicroSD</t>
        </is>
      </c>
      <c r="C1349" s="1" t="n">
        <v>18590.0</v>
      </c>
      <c r="D1349" s="7" t="n">
        <f>HYPERLINK("https://www.somogyi.hu/product/sal-rrt-11b-retro-kazettas-radio-multimedia-lejatszo-kazettas-magno-beepitett-mikrofon-hangrogzites-aux-usb-microsd-rrt-11b-15765","https://www.somogyi.hu/product/sal-rrt-11b-retro-kazettas-radio-multimedia-lejatszo-kazettas-magno-beepitett-mikrofon-hangrogzites-aux-usb-microsd-rrt-11b-15765")</f>
        <v>0.0</v>
      </c>
      <c r="E1349" s="7" t="n">
        <f>HYPERLINK("https://www.somogyi.hu/data/img/product_main_images/small/15765.jpg","https://www.somogyi.hu/data/img/product_main_images/small/15765.jpg")</f>
        <v>0.0</v>
      </c>
      <c r="F1349" s="2" t="inlineStr">
        <is>
          <t>5999084937997</t>
        </is>
      </c>
      <c r="G1349" s="4" t="inlineStr">
        <is>
          <t>Szeretné újraélni a régi idők hangulatát, miközben a modern technológia előnyeit élvezi? A SAL RRT 11B retro kazettás rádió tökéletes választás mindazok számára, akik a klasszikus kazettás magnók varázsát ötvöznék a mai multimédiás funkciókkal. Ez a különleges készülék 11 sávos világvevő rádióval, kazettás magnóval és digitális lejátszási lehetőségekkel egyaránt rendelkezik, így sokoldalúan használható.
Hagyományos és modern funkciók találkozása
A SAL RRT 11B kazettás rádiója kiválóan alkalmas a régi analóg felvételek digitalizálására, amelyeket könnyedén archiválhat MP3 formátumban USB vagy microSD eszközre. A kazettás magnó auto-stop funkcióval és beépített mikrofonjával lehetővé teszi, hogy régi kazettáit újra felhasználja, vagy akár új felvételeket készítsen. A készülék minden elérhető jelforrást – rádió, kazetta, mikrofon – képes rögzíteni, legyen az analóg vagy digitális.
11 sávos világvevő rádió és kiváló hangminőség
Az AM, FM és SW sávokat lefedő világvevő rádió finomhangoló kettős forgatógombbal biztosítja, hogy bármely rádióállomást tisztán hallgathasson. Ez a funkcionalitás különösen értékes azok számára, akik szeretnek utazni, vagy egyszerűen csak élvezik a különféle rádiófrekvenciák széles választékát.
Könnyű csatlakozás és multimédia támogatás
Az USB és microSD bemenetek révén MP3 vagy WMA formátumban is lejátszhat zenéket, míg az AUX bemenet lehetővé teszi, hogy más eszközöket is csatlakoztasson. A fejhallgató-csatlakozó diszkrét zenehallgatási élményt biztosít, ha épp arra van szüksége.
Praktikus és hordozható kialakítás
A 280 x 170 x 100 mm méretű és mindössze 1,5 kg súlyú készülék könnyen hordozható, így bárhová magával viheti. A tápellátás háromféle módon történhet: hálózatról, 4xD/LR20 (1,5 V) elemmel vagy külső 6 V adapterrel, amely maximális rugalmasságot nyújt a használat során.
Válassza a SAL RRT 11B retro kazettás rádiót, hogy a klasszikus hangzás és a modern technológia találkozásával különleges zenei élményben lehessen része – fedezze fel újra a zenét!</t>
        </is>
      </c>
    </row>
    <row r="1350">
      <c r="A1350" s="3" t="inlineStr">
        <is>
          <t>RRT7</t>
        </is>
      </c>
      <c r="B1350" s="2" t="inlineStr">
        <is>
          <t>SAL RRT7 sztereó retro hangszóró, vezeték nélküli, 2x5W, FM rádió, Bluetooth, beépített akkumulátor</t>
        </is>
      </c>
      <c r="C1350" s="1" t="n">
        <v>17090.0</v>
      </c>
      <c r="D1350" s="7" t="n">
        <f>HYPERLINK("https://www.somogyi.hu/product/sal-rrt7-sztereo-retro-hangszoro-vezetek-nelkuli-2x5w-fm-radio-bluetooth-beepitett-akkumulator-rrt7-18684","https://www.somogyi.hu/product/sal-rrt7-sztereo-retro-hangszoro-vezetek-nelkuli-2x5w-fm-radio-bluetooth-beepitett-akkumulator-rrt7-18684")</f>
        <v>0.0</v>
      </c>
      <c r="E1350" s="7" t="n">
        <f>HYPERLINK("https://www.somogyi.hu/data/img/product_main_images/small/18684.jpg","https://www.somogyi.hu/data/img/product_main_images/small/18684.jpg")</f>
        <v>0.0</v>
      </c>
      <c r="F1350" s="2" t="inlineStr">
        <is>
          <t>5999084967024</t>
        </is>
      </c>
      <c r="G1350" s="4" t="inlineStr">
        <is>
          <t>Szeretne egy stílusos, mégis modern hangszórót, amely tökéletesen illeszkedik otthona hangulatához? A SAL RRT7 sztereó retró hangszóró a letisztult formatervezés és a kiváló hangminőség ideális kombinációját kínálja. 
Ez a 2x5 Wattos multimédia készülék igényes fa és textil anyagokból készült, így megjelenésével bármilyen térbe eleganciát varázsol, miközben erőteljes és tiszta hangzást biztosít. A hangszóró beépített FM rádióval rendelkezik, amely automatikus hangolással egyszerűsíti a kedvenc rádióállomások elérését. A vezeték nélküli Bluetooth TWS kapcsolat lehetővé teszi, hogy két azonos készüléket párosítson, így dupla hangerőt és kiterjesztett sztereó hangzást élvezhet, ami ideális nagyobb terek hangosításához. Emellett az USB és microSD eszközökről történő zenelejátszásnak köszönhetően bármikor meghallgathatja kedvenc zenéit.
Az AUX vezetékes bemenet különösen hasznos, ha például számítógépet vagy egyéb eszközt szeretne csatlakoztatni a hangszóróhoz. A beépített akkumulátor automatikus töltési funkcióval rendelkezik, így nem kell aggódnia a rendszeres újratöltés miatt – a hangszóró akár 10 órán keresztül is képes üzemelni egyetlen töltéssel, így biztosítva a folyamatos szórakozást. A csomagban található USB-C töltő- és antennakábel segítségével a készülék mindig készen áll a használatra. A készülék feltöltését a SAL SA 24USB vagy SAL SA 50USB adapterekkel javasoljuk.
Ne hagyja ki ezt a lehetőséget, hogy otthona hangulatát egy stílusos és sokoldalú hangszóróval dobja fel – válassza a SAL RRT7 sztereó retró hangszórót, és élvezze a kiváló hangzást minden pillanatban!</t>
        </is>
      </c>
    </row>
    <row r="1351">
      <c r="A1351" s="3" t="inlineStr">
        <is>
          <t>SB 2000</t>
        </is>
      </c>
      <c r="B1351" s="2" t="inlineStr">
        <is>
          <t>SAL SB 2000 hordozható hangprojektor, 2.1 stereo, BT TWS kapcsolat, 3.5mm AUX, érintőgombok, EQ, mikrofon, USB-C és AUX kábel, IPX5</t>
        </is>
      </c>
      <c r="C1351" s="1" t="n">
        <v>16290.0</v>
      </c>
      <c r="D1351" s="7" t="n">
        <f>HYPERLINK("https://www.somogyi.hu/product/sal-sb-2000-hordozhato-hangprojektor-2-1-stereo-bt-tws-kapcsolat-3-5mm-aux-erintogombok-eq-mikrofon-usb-c-es-aux-kabel-ipx5-sb-2000-18333","https://www.somogyi.hu/product/sal-sb-2000-hordozhato-hangprojektor-2-1-stereo-bt-tws-kapcsolat-3-5mm-aux-erintogombok-eq-mikrofon-usb-c-es-aux-kabel-ipx5-sb-2000-18333")</f>
        <v>0.0</v>
      </c>
      <c r="E1351" s="7" t="n">
        <f>HYPERLINK("https://www.somogyi.hu/data/img/product_main_images/small/18333.jpg","https://www.somogyi.hu/data/img/product_main_images/small/18333.jpg")</f>
        <v>0.0</v>
      </c>
      <c r="F1351" s="2" t="inlineStr">
        <is>
          <t>5999084963514</t>
        </is>
      </c>
      <c r="G1351" s="4" t="inlineStr">
        <is>
          <t>Szeretné élvezni a kiváló hangminőséget bárhová is megy? A SAL SB 2000 hordozható hangprojektor tökéletes választás, amely egyesíti a hordozhatóságot és a lenyűgöző hangzást.
Ez a hangprojektor két 52 mm szélessávú hangszóróval és egy passzív mélysugárzóval van felszerelve, amelyek tiszta és erőteljes hangzást biztosítanak. A frekvenciaátvitele 100 - 20.000 Hz között mozog, így minden részletet tökéletesen hallhat. A kimenőteljesítménye 2 x 8 W (Pm), ami garantálja a kiváló hangminőséget, akárhol is használja.
A SAL SB 2000 Bluetooth 5.3 vezeték nélküli kapcsolatot használ, amely akár 10 méteres hatótávolságot is biztosít, a Bluetooth 2.402-2.480 GHz ERP ≤2.5 mW szabvány szerint. A sztereo térhatás és a mobilkészülék zenelejátszójának távvezérlése még kényelmesebbé teszi a használatot. A beépített mikrofon és a telefonbeszélgetés kihangosítása révén nemcsak zenelejátszóként, hanem kommunikációs eszközként is kiválóan funkcionál.
A hangprojektor vezetékes audio bemenettel is rendelkezik (Ø3,5 mm jack), így bármilyen eszközt könnyedén csatlakoztathat. A beépített Li-ion akkumulátor (3.7 V / 2000 mAh) akár 10 órás működési időt biztosít, és mindössze 3 óra alatt teljesen feltölthető. A készülékhez tartozik egy USB-C töltőkábel és egy 3,5 mm sztereó audio kábel, hogy azonnal használatba vehesse.
A SAL SB 2000 mérete 350 x 68 x 72 mm, súlya pedig mindössze 0,7 kg, így könnyen hordozható. Az IPX5 védettségi fokozat biztosítja, hogy ellenálljon a fröccsenő víznek, így bárhová magával viheti, akár a szabadba is. Az egyéb funkciók között megtalálható a vezeték nélküli BT TWS kapcsolat és a zene-mozi-játék EQ hangszín módok, amelyek tovább fokozzák a hangélményt.
Javasolt hálózati adapterek: SAL SA 24USB és SAL SA 50USB.
Ne habozzon, válassza a SAL SB 2000 hordozható hangprojektort, és élvezze a kiváló hangminőséget bárhol, bármikor!</t>
        </is>
      </c>
    </row>
    <row r="1352">
      <c r="A1352" s="3" t="inlineStr">
        <is>
          <t>MECHAPOWER</t>
        </is>
      </c>
      <c r="B1352" s="2" t="inlineStr">
        <is>
          <t>SAL MECHAPOWER vezeték nélküli hangszóró és multimédia-lejátszó, 2 x 10 W, RGB LED, BT TWS, USB-C, ~8 óra üzemidő, superbass mélysugárzó</t>
        </is>
      </c>
      <c r="C1352" s="1" t="n">
        <v>15990.0</v>
      </c>
      <c r="D1352" s="7" t="n">
        <f>HYPERLINK("https://www.somogyi.hu/product/sal-mechapower-vezetek-nelkuli-hangszoro-es-multimedia-lejatszo-2-x-10-w-rgb-led-bt-tws-usb-c-8-ora-uzemido-superbass-melysugarzo-mechapower-18441","https://www.somogyi.hu/product/sal-mechapower-vezetek-nelkuli-hangszoro-es-multimedia-lejatszo-2-x-10-w-rgb-led-bt-tws-usb-c-8-ora-uzemido-superbass-melysugarzo-mechapower-18441")</f>
        <v>0.0</v>
      </c>
      <c r="E1352" s="7" t="n">
        <f>HYPERLINK("https://www.somogyi.hu/data/img/product_main_images/small/18441.jpg","https://www.somogyi.hu/data/img/product_main_images/small/18441.jpg")</f>
        <v>0.0</v>
      </c>
      <c r="F1352" s="2" t="inlineStr">
        <is>
          <t>5999084964597</t>
        </is>
      </c>
      <c r="G1352" s="4" t="inlineStr">
        <is>
          <t>Egy olyan hangszórót keres, ami többre is képes, mint csupán zenelejátszásra? A SAL MECHAPOWER vezeték nélküli hangszóró és multimédia-lejátszó futurisztikus dizájnnal és átlátszó burkolattal nem csak hallható, de látványos kiegészítője is lesz otthonának vagy irodájának.
Ez a készülék innovatív technológiát és stílusos kialakítást ötvöz. A változtatható RGB LED fényjátékának köszönhetően hangulatához igazíthatja a környezetét, míg a digitális hangerő-kijelző és az akkumulátor töltöttség kijelzése biztosítja, hogy mindig képben legyen a készülék állapotával. Két hangszóró sztereó párosítása lehetővé teszi a kiterjesztett stereo élményt, így akár egy nagyobb térben is tökéletes hangzást biztosít.
Zenehallgatásra vágyik? Csak csatlakoztassa USB eszközét, és élvezze a tiszta hangzást, amit a beépített superbass mélysugárzó még inkább fokoz. A hangszóró beépített akkumulátorral rendelkezik, mely körülbelül 4 óra alatt töltődik fel és akár 8 órán át képes szolgáltatni a kiváló minőségű hangélményt.
Fedezze fel a zenehallgatás új dimenzióit a SAL MECHAPOWER vezeték nélküli hangszóróval, mely nem csak erős teljesítményt, de vizuális élményt is kínál. Engedje, hogy otthona vagy munkahelye a modern technológia és dizájn találkozásának helyszínévé váljon!</t>
        </is>
      </c>
    </row>
    <row r="1353">
      <c r="A1353" s="3" t="inlineStr">
        <is>
          <t>BT 7000</t>
        </is>
      </c>
      <c r="B1353" s="2" t="inlineStr">
        <is>
          <t>SAL BT 7000 BoomBox, bluetooth kihangosító, 2 x 30 W, BT TWS, 3.5mm AUX, USB, EQ, LED effektek, telefontöltés, USB-C és AUX kábel, vízálló</t>
        </is>
      </c>
      <c r="C1353" s="1" t="n">
        <v>36590.0</v>
      </c>
      <c r="D1353" s="7" t="n">
        <f>HYPERLINK("https://www.somogyi.hu/product/sal-bt-7000-boombox-bluetooth-kihangosito-2-x-30-w-bt-tws-3-5mm-aux-usb-eq-led-effektek-telefontoltes-usb-c-es-aux-kabel-vizallo-bt-7000-18334","https://www.somogyi.hu/product/sal-bt-7000-boombox-bluetooth-kihangosito-2-x-30-w-bt-tws-3-5mm-aux-usb-eq-led-effektek-telefontoltes-usb-c-es-aux-kabel-vizallo-bt-7000-18334")</f>
        <v>0.0</v>
      </c>
      <c r="E1353" s="7" t="n">
        <f>HYPERLINK("https://www.somogyi.hu/data/img/product_main_images/small/18334.jpg","https://www.somogyi.hu/data/img/product_main_images/small/18334.jpg")</f>
        <v>0.0</v>
      </c>
      <c r="F1353" s="2" t="inlineStr">
        <is>
          <t>5999084963521</t>
        </is>
      </c>
      <c r="G1353" s="4" t="inlineStr">
        <is>
          <t>Szeretne egy hordozható hangszórót, amely kiváló hangzást nyújt? A SAL BT 7000 BoomBox a tökéletes választás minden zeneimádó számára, aki a minőséget és a stílust keresi egy készülékben.
Ez a hangszóró két magas, két mélyközép és két passzív mélysugárzóval rendelkezik, amelyek együtt lenyűgöző hangzást biztosítanak, kiterjesztett frekvenciaátvitellel 65 - 20.000 Hz között. A színváltó LED hangulatvilágítás tovább fokozza a zenei élményt, stílusos és dinamikus fényekkel kísérve a lejátszást. A SAL BT 7000 BoomBox kimenő teljesítménye 2 x 20 W és 2 x 10 W (Pm), így bármilyen környezetben kiváló hangminőséget nyújt. 
A legújabb Bluetooth 5.3 BR EDR technológia segítségével akár 10 méteres hatótávolságban is stabil kapcsolatot biztosít, és támogatja a Bluetooth 2.402-2.480 GHz ERP ≤2.5 mW tartományt.
A BoomBox MP3 formátumú zenéket játszik le, és USB (FAT32, max. 64 GB) adathordozó is csatlakoztatható hozzá. A sztereo térhatás, valamint a magas és mély hangszínszabályozó EQ hangszín módok lehetővé teszik, hogy a zene mindig tökéletesen szóljon.
A beépített mikrofon és a telefonbeszélgetés kihangosítása révén a SAL BT 7000 nemcsak zenelejátszó, hanem teljes értékű kommunikációs eszköz is. A vezetékes audio bemenet (Ø3,5 mm jack) további rugalmasságot biztosít. A beépített akkumulátor 4 x 1800 mAh (7.200 mAh) kapacitással akár 12 órás működési időt nyújt, és mindössze 4 óra alatt teljesen feltölthető.
A csomag tartalmaz egy USB-C töltőkábelt, egy 3,5 mm sztereó audio kábelt és egy vállpántot, ami megkönnyíti a hordozhatóságot. Az IPX6 védettségi fokozat pedig biztosítja, hogy a készülék ellenáll a fröccsenő víznek, így bárhová magával viheti.
Javasolt hálózati töltők: SAL SA 24USB és SAL SA 50USB
Válassza a SAL BT 7000 BoomBoxot, és élvezze a kiváló hangminőséget és a lenyűgöző fényhatásokat bárhol, bármikor!</t>
        </is>
      </c>
    </row>
    <row r="1354">
      <c r="A1354" s="3" t="inlineStr">
        <is>
          <t>RRT 2B</t>
        </is>
      </c>
      <c r="B1354" s="2" t="inlineStr">
        <is>
          <t>SAL RRT 2B retro táskarádió, multimédia lejátszó, 4 in 1, BT, USB/MicroSD, FM rádió, AUX, ~20 óra üzemidő</t>
        </is>
      </c>
      <c r="C1354" s="1" t="n">
        <v>18890.0</v>
      </c>
      <c r="D1354" s="7" t="n">
        <f>HYPERLINK("https://www.somogyi.hu/product/sal-rrt-2b-retro-taskaradio-multimedia-lejatszo-4-in-1-bt-usb-microsd-fm-radio-aux-20-ora-uzemido-rrt-2b-16427","https://www.somogyi.hu/product/sal-rrt-2b-retro-taskaradio-multimedia-lejatszo-4-in-1-bt-usb-microsd-fm-radio-aux-20-ora-uzemido-rrt-2b-16427")</f>
        <v>0.0</v>
      </c>
      <c r="E1354" s="7" t="n">
        <f>HYPERLINK("https://www.somogyi.hu/data/img/product_main_images/small/16427.jpg","https://www.somogyi.hu/data/img/product_main_images/small/16427.jpg")</f>
        <v>0.0</v>
      </c>
      <c r="F1354" s="2" t="inlineStr">
        <is>
          <t>5999084944599</t>
        </is>
      </c>
      <c r="G1354" s="4" t="inlineStr">
        <is>
          <t>Szeretne egy minden igényt kielégítő, stílusos táskarádiót, amely mindenhova elkíséri Önt? A SAL RRT 2B retro táskarádió a tökéletes választás azok számára, akik a retró dizájnt modern technológiai jellemzőkkel szeretnék ötvözni. 
Ez a 4 az 1-ben multifunkcionális eszköz nem csupán a hagyományos rádióadásokat teszi elérhetővé AM, FM és SW sávokon, hanem vezeték nélküli Bluetooth kapcsolaton keresztül mobilkészülékről vagy számítógépről is lejátszhatja kedvenc zenéit. Az integrált Bluetooth funkció lehetővé teszi a mobiltelefon zenelejátszójának vezérlését, míg az USB és microSD eszközökön tárolt MP3 fájlok lejátszásával még több lehetőség nyílik meg Ön előtt a zenehallgatás terén. Az AUX bemeneten keresztül pedig további audio eszközöket is csatlakoztathat. A SAL RRT 2B kiemelkedik rendkívül hosszú, akár 20 órás üzemidejével egyetlen töltéssel.
A táskarádió sokoldalú tápellátása - amely magában foglalja a tartozék hálózati kábelt a töltéshez, a beépített akkumulátort, valamint az opcionális 3 x 1,5 V (D / LR20) elemet vagy 18650 típusú akkumulátort - biztosítja, hogy sosem kell aggódnia az eszköz lemerülése miatt, legyen szó hosszú utazásokról, kempingezésről vagy a kertben töltött estékről.
Tegye a mindennapokat különlegessé a SAL RRT 2B retro táskarádióval, amely nem csak zenei élményt, hanem egy stílusos kiegészítőt is nyújt az Ön életében.</t>
        </is>
      </c>
    </row>
    <row r="1355">
      <c r="A1355" s="3" t="inlineStr">
        <is>
          <t>BT 5000</t>
        </is>
      </c>
      <c r="B1355" s="2" t="inlineStr">
        <is>
          <t>SAL BT 5000 hordozható bluetooth kihangosító, 2 x 25 W, sztereó boombox, FM rádió, USB, microSD, beépített mikrofon, RGB LED, ~30 óra üzemidő</t>
        </is>
      </c>
      <c r="C1355" s="1" t="n">
        <v>31390.0</v>
      </c>
      <c r="D1355" s="7" t="n">
        <f>HYPERLINK("https://www.somogyi.hu/product/sal-bt-5000-hordozhato-bluetooth-kihangosito-2-x-25-w-sztereo-boombox-fm-radio-usb-microsd-beepitett-mikrofon-rgb-led-30-ora-uzemido-bt-5000-17556","https://www.somogyi.hu/product/sal-bt-5000-hordozhato-bluetooth-kihangosito-2-x-25-w-sztereo-boombox-fm-radio-usb-microsd-beepitett-mikrofon-rgb-led-30-ora-uzemido-bt-5000-17556")</f>
        <v>0.0</v>
      </c>
      <c r="E1355" s="7" t="n">
        <f>HYPERLINK("https://www.somogyi.hu/data/img/product_main_images/small/17556.jpg","https://www.somogyi.hu/data/img/product_main_images/small/17556.jpg")</f>
        <v>0.0</v>
      </c>
      <c r="F1355" s="2" t="inlineStr">
        <is>
          <t>5999084955786</t>
        </is>
      </c>
      <c r="G1355" s="4" t="inlineStr">
        <is>
          <t>Szeretne egy eszközt, amely egyszerre nyújt lenyűgöző hangzást és maximális hordozhatóságot? A SAL BT 5000 hordozható Bluetooth kihangosító minden igényt kielégít, legyen szó zenehallgatásról, kihangosított hívásokról vagy akár parti hangulat megteremtéséről. Ez a sztereó boombox 2 x 25 W teljesítményével, RGB LED fényekkel és ~30 órás üzemidejével a tökéletes választás bármilyen helyzetre.
Teljesítmény és hangzás
A SAL BT 5000 a 2.0 sztereó + Dual-Bass hangsugárzókkal erőteljes, térhatású hangzást biztosít. Az 50 W összteljesítmény és az IPX5 vízvédelem révén ideális beltéri és kültéri használatra egyaránt. Két azonos eszköz vezeték nélkül párosítható, így még nagyobb hangerőt és kiterjesztett sztereó élményt érhet el.
Többfunkciós lejátszás
A kihangosító számos lehetőséget kínál: Bluetooth TWS kapcsolattal csatlakoztathatja eszközeit, az USB, microSD és AUX bemenetek segítségével pedig kedvenc zenéit MP3, WMA, WAV, APE vagy FLAC formátumban is lejátszhatja. Az FM rádió automatikus állomáskereséssel bármikor elérhető, ha élő adást szeretne hallgatni.
Kényelmes vezérlés és praktikus funkciók
A SAL BT 5000 beépített mikrofonjával hívásokat is könnyedén fogadhat, a Google Assistant és Siri hangvezérlés pedig még egyszerűbbé teszi a mindennapi használatot. A gombok ergonomikusan a hordfülön kaptak helyet, így a kezelése rendkívül kényelmes. Az RGB LED világítás kikapcsolható, így a készülék alkalmazkodik az aktuális hangulatához.
Hosszú üzemidő és gyors töltés
Az eszköz beépített akkumulátora akár 30 órás üzemidőt biztosít, míg a töltés mindössze 6,5 órát vesz igénybe. A csomag tartalmaz egy USB-C töltőkábelt és egy 3,5 mm-es audio kábelt, valamint javasolt töltőket is kínálunk a maximális kompatibilitás érdekében.
Válassza a SAL BT 5000 hordozható Bluetooth kihangosítót, és vigye magával kedvenc zenéit, bárhová is megy – élvezze a kiváló hangzást és a modern technológia kényelmét egyetlen eszközben!</t>
        </is>
      </c>
    </row>
    <row r="1356">
      <c r="A1356" s="3" t="inlineStr">
        <is>
          <t>BTCUBE</t>
        </is>
      </c>
      <c r="B1356" s="2" t="inlineStr">
        <is>
          <t>SAL BTCUBE hordozható Boombox, vezeték nélküli hangszóró, 70 watt, 3 hangszóró, Bluetooth TWS, IPX4, beépített akkumulátor</t>
        </is>
      </c>
      <c r="C1356" s="1" t="n">
        <v>57590.0</v>
      </c>
      <c r="D1356" s="7" t="n">
        <f>HYPERLINK("https://www.somogyi.hu/product/sal-btcube-hordozhato-boombox-vezetek-nelkuli-hangszoro-70-watt-3-hangszoro-bluetooth-tws-ipx4-beepitett-akkumulator-btcube-18921","https://www.somogyi.hu/product/sal-btcube-hordozhato-boombox-vezetek-nelkuli-hangszoro-70-watt-3-hangszoro-bluetooth-tws-ipx4-beepitett-akkumulator-btcube-18921")</f>
        <v>0.0</v>
      </c>
      <c r="E1356" s="7" t="n">
        <f>HYPERLINK("https://www.somogyi.hu/data/img/product_main_images/small/18921.jpg","https://www.somogyi.hu/data/img/product_main_images/small/18921.jpg")</f>
        <v>0.0</v>
      </c>
      <c r="F1356" s="2" t="inlineStr">
        <is>
          <t>5999084969158</t>
        </is>
      </c>
      <c r="G1356" s="4" t="inlineStr">
        <is>
          <t>Hogyan lehet egyetlen eszközzel bárhol kiváló hangzás és felejthetetlen zenei élmény?
A SAL BTCUBE hordozható boombox egy nagyteljesítményű vezeték nélküli hangszóró, amely kompakt mérete ellenére lenyűgöző 70 wattos teljesítményt és mély basszusokat kínál. Bluetooth TWS technológiájának köszönhetően vezeték nélkül párosíthat két azonos eszközt, így dupla hangerővel és kiterjesztett sztereó élménnyel gazdagíthatja zenei élményét, akár otthon, akár szabadtéri rendezvényeken.
Kivételes hangminőség kompakt méretben
A BTCUBE három beépített hangszóróval és különálló erősítőkkel biztosítja a kristálytiszta magas- és mélyhangokat. Az egyedi bass-reflex technológia extra dinamikus basszusokat eredményez, így minden zenei stílus tökéletesen szólal meg.
Vezeték nélküli és sokoldalú csatlakoztathatóság
- Bluetooth kapcsolat: Zenelejátszás okostelefonról, tabletről vagy bármilyen Bluetooth-képes eszközről
- USB MP3 stereo lejátszás: Közvetlenül pendrive-ról is hallgathat zenéket
- 3.5mm AUX bemenet: Külső eszközök csatlakoztatásához, például laptop vagy MP3-lejátszó
- 6.3mm mikrofon- és gitárbemenet: Ideális karaoke partikhoz és hangszeres előadásokhoz
Különleges hangzásbeállítások
Az EQ BASS hangszín kapcsoló lehetővé teszi a hangzás finomhangolását, így igényei szerint alakíthatja a basszust és az egyéb hangszíneket. A dupla hangerő és kiterjesztett sztereó élmény elérhető két azonos hangszóró vezeték nélküli párosításával, így még nagyobb térben is tökéletes hangzást biztosíthat.
Látványos fényhatások és stroboszkóp effekt
A BTCUBE nemcsak hallásra, hanem látványban is lenyűgöző! Variálható színes LED fényeffektjei és erőteljes fehér stroboszkópja garantáltan feldobják a bulihangulatot, legyen szó otthoni használatról vagy szabadtéri eseményről.
Beépített akkumulátor – hosszú üzemidő
A hordozhatóság jegyében a BTCUBE beépített akkumulátorral rendelkezik, amely akár 8 órás üzemidőt biztosít egyetlen feltöltéssel. Akkumulátor töltöttségi szint jelzője segít figyelemmel kísérni az energiafogyasztást. Az USB-C töltésnek köszönhetően gyorsan és egyszerűen újratölthető.
Power bank funkció – töltse fel mobileszközeit
A BTCUBE power bankként is használható, így útközben vagy szabadtéren is töltheti telefonját, tabletjét vagy más USB-ről tölthető eszközeit.
IPX4 vízállóság – ideális kültéri használatra
Az IPX4 minősítésű borításnak köszönhetően a hangszóró fröccsenő víz ellen védett, így bátran használható strandon, medenceparton vagy akár kisebb esőben is.
Miért válassza a SAL BTCUBE hordozható boomboxot?
- Kiemelkedő hangteljesítmény (70W) három hangszóróval
- Vezeték nélküli Bluetooth TWS kapcsolat két eszköz sztereó párosításához
- USB, AUX és mikrofon-/gitárbemenet a sokoldalú zenelejátszáshoz
- EQ BASS hangszínbeállítás az optimális hangzás érdekében
- Variálható színes LED fényeffektek és fehér stroboszkóp a vizuális élmény fokozására
- Beépített akkumulátor akár 8 órás üzemidővel
- Power bank funkció – töltse fel mobileszközeit bárhol
- IPX4 vízállóság, így kültéri használatra is ideális
- Tartozék USB-C töltőkábel és 3.5mm AUX kábel
- Javasolt töltők: SA 50USB, SA 24USB
Fokozza a zenei élményt bárhol, bármikor! A SAL BTCUBE hordozható boombox erőteljes hangzásával, látványos fényhatásaival és hosszú üzemidejével tökéletes választás zene- és buli szerelmeseinek!</t>
        </is>
      </c>
    </row>
    <row r="1357">
      <c r="A1357" s="3" t="inlineStr">
        <is>
          <t>RPR 7B</t>
        </is>
      </c>
      <c r="B1357" s="2" t="inlineStr">
        <is>
          <t>SAL RPR 7B táskarádió, AC/DC, 4 in 1, BT, USB, MicroSD, AM-FM-SW1-SW2 rádió, AUX, ~18 óra üzemidő</t>
        </is>
      </c>
      <c r="C1357" s="1" t="n">
        <v>14690.0</v>
      </c>
      <c r="D1357" s="7" t="n">
        <f>HYPERLINK("https://www.somogyi.hu/product/sal-rpr-7b-taskaradio-ac-dc-4-in-1-bt-usb-microsd-am-fm-sw1-sw2-radio-aux-18-ora-uzemido-rpr-7b-17093","https://www.somogyi.hu/product/sal-rpr-7b-taskaradio-ac-dc-4-in-1-bt-usb-microsd-am-fm-sw1-sw2-radio-aux-18-ora-uzemido-rpr-7b-17093")</f>
        <v>0.0</v>
      </c>
      <c r="E1357" s="7" t="n">
        <f>HYPERLINK("https://www.somogyi.hu/data/img/product_main_images/small/17093.jpg","https://www.somogyi.hu/data/img/product_main_images/small/17093.jpg")</f>
        <v>0.0</v>
      </c>
      <c r="F1357" s="2" t="inlineStr">
        <is>
          <t>5999084951252</t>
        </is>
      </c>
      <c r="G1357" s="4" t="inlineStr">
        <is>
          <t>Egy rádió, amely a klasszikus és a modern technológiát is ötvözi? A SAL RPR 7B táskarádió tökéletes választás mindazok számára, akik a hagyományos rádiózás élményét szeretnék modern funkciókkal kiegészíteni. Ez a 4 az 1-ben készülék Bluetooth kapcsolattal, USB és microSD lejátszási lehetőséggel, valamint 4 sávos rádióval (AM-FM-SW1-SW2) kínál sokoldalú megoldást minden helyzetben.
Sokoldalúság és modern kapcsolódás
A SAL RPR 7B táskarádió vezeték nélküli Bluetooth kapcsolatot biztosít, amely lehetővé teszi a zenelejátszást mobiltelefonról, táblagépről vagy számítógépről. Az USB és microSD bemeneteken keresztül MP3, WAV és WMA formátumú fájlokat is könnyedén lejátszhat. A készülék a telefon zenelejátszóját is vezérelheti, így egyszerű és kényelmes használatot kínál.
Kiváló rádióélmény
Ez a rádió a hagyományos rádióhallgatás szerelmeseinek is ideális, hiszen négy különböző sávot kínál: AM, FM, SW1 és SW2. Az egyszerű hangolás és a kiváló vételi minőség biztosítja, hogy bármilyen körülmények között élvezhesse kedvenc rádióállomásait. A fejhallgató-csatlakozó révén csendes környezetben is zavartalanul hallgathatja a rádiót.
Hosszú üzemidő és rugalmas tápellátás
A készülék beépített akkumulátorral rendelkezik, amely akár 18 órás üzemidőt is biztosít egyetlen töltéssel. Háromféle tápellátási módot kínál: használhatja hálózatról, akkumulátorról vagy elemmel (2xD/LR20), így bármilyen körülmények között működőképes. A töltési idő mindössze 8 óra, és a csomagban megtalálható a szükséges hálózati kábel is.
Kompakt és praktikus kialakítás
A SAL RPR 7B táskarádió kompakt méretével és praktikus kialakításával könnyen hordozható. Ideális választás otthoni, munkahelyi vagy akár kültéri használatra, ahol fontos a megbízható működés és a sokoldalú felhasználhatóság.
Fedezze fel a SAL RPR 7B táskarádió nyújtotta lehetőségeket, és élvezze a klasszikus rádiózás élményét modern technológiával kiegészítve!</t>
        </is>
      </c>
    </row>
    <row r="1358">
      <c r="A1358" s="3" t="inlineStr">
        <is>
          <t>PCS 230</t>
        </is>
      </c>
      <c r="B1358" s="2" t="inlineStr">
        <is>
          <t>SAL PCS 230 multimédia hangszórópár, 2x3 W, RGB LED effekt, AUX, BT, USB tápkábel</t>
        </is>
      </c>
      <c r="C1358" s="1" t="n">
        <v>4590.0</v>
      </c>
      <c r="D1358" s="7" t="n">
        <f>HYPERLINK("https://www.somogyi.hu/product/sal-pcs-230-multimedia-hangszoropar-2x3-w-rgb-led-effekt-aux-bt-usb-tapkabel-pcs-230-17719","https://www.somogyi.hu/product/sal-pcs-230-multimedia-hangszoropar-2x3-w-rgb-led-effekt-aux-bt-usb-tapkabel-pcs-230-17719")</f>
        <v>0.0</v>
      </c>
      <c r="E1358" s="7" t="n">
        <f>HYPERLINK("https://www.somogyi.hu/data/img/product_main_images/small/17719.jpg","https://www.somogyi.hu/data/img/product_main_images/small/17719.jpg")</f>
        <v>0.0</v>
      </c>
      <c r="F1358" s="2" t="inlineStr">
        <is>
          <t>5999084957414</t>
        </is>
      </c>
      <c r="G1358" s="4" t="inlineStr">
        <is>
          <t>Olyan hangszórópárt keres, amely egyszerre modern, kompakt és látványos? A SAL PCS 230 multimédia hangszórópár tökéletes választás mindennapi zenehallgatáshoz, játékhoz vagy videónézéshez, miközben a váltakozó RGB LED hangulatvilágítás lenyűgöző vizuális élményt nyújt. Ez az aktív sztereó hangszórópár egyszerűen csatlakoztatható, így bárhol kényelmesen használható.
Kompakt méret, erőteljes hangzás
A két darab 2 colos (51 mm) hangszóróval szerelt SAL PCS 230 80–18.000 Hz közötti frekvenciatartománnyal rendelkezik, így garantálja a tiszta és dinamikus hangzást mind a mély, mind a magas frekvenciákon. A 2 x 3 W kimeneti teljesítmény kiválóan alkalmas kisebb helyiségek hangosítására, legyen szó irodai munkáról, otthoni szórakozásról vagy tanulásról.
Sokoldalú csatlakozási lehetőségek
A vezeték nélküli Bluetooth 4.2 kapcsolat akár 5 méteres hatótávot is biztosít, míg a 3,5 mm-es jack bemenet révén vezetékes csatlakoztatásra is lehetőség van. Különlegessége, hogy egyszerre használható vezetékes és Bluetooth kapcsolaton keresztül is – például számítógéphez vezetékkel csatlakoztatva, miközben mobiltelefonról vezeték nélkül játszhatja le zenéit.
Stílusos dizájn és LED világítás
A váltakozó RGB LED fényeffektek nemcsak hangulatot teremtenek, hanem modern megjelenést is kölcsönöznek a hangszórópárnak. A fények finom mozgása tökéletes kiegészítője a zenehallgatás élményének, különösen esti használat során.
Egyszerű tápellátás és praktikus kialakítás
A SAL PCS 230 hangszórók USB tápkábellel érkeznek, amely számítógépről vagy USB adapterről is táplálható (opcionálisan javasolt adapterek: SA 24USB, SA 50USB). A két hangszóró közötti ~80 cm hosszúságú kábel elegendő rugalmasságot biztosít az elhelyezésükhöz. Kompakt méretüknek (65 x 100 x 75 mm) és könnyű súlyuknak (0,35 kg) köszönhetően szinte bárhol elférnek.
Tökéletes választás mindennapi használatra
Ez a hangszórópár ideális asztali számítógép, laptop vagy mobiltelefon hangzásának javítására, miközben helytakarékos és egyszerűen kezelhető. A modern funkciók és a stílusos megjelenés kombinációja garantáltan lenyűgözi Önt és környezetét.
Válassza a SAL PCS 230 multimédia hangszórópárt, és élvezze a dinamikus hangzást és a látványos LED világítást minden alkalommal!</t>
        </is>
      </c>
    </row>
    <row r="1359">
      <c r="A1359" s="3" t="inlineStr">
        <is>
          <t>RRT 12B</t>
        </is>
      </c>
      <c r="B1359" s="2" t="inlineStr">
        <is>
          <t>SAL RRT 12B lemezlejátszó, multimédia lejátszó, 3 féle fordulatszám, kerámia hangszedő, BT, FM rádió, AUX, USB/MicroSD, EQ</t>
        </is>
      </c>
      <c r="C1359" s="1" t="n">
        <v>33590.0</v>
      </c>
      <c r="D1359" s="7" t="n">
        <f>HYPERLINK("https://www.somogyi.hu/product/sal-rrt-12b-lemezlejatszo-multimedia-lejatszo-3-fele-fordulatszam-keramia-hangszedo-bt-fm-radio-aux-usb-microsd-eq-rrt-12b-16577","https://www.somogyi.hu/product/sal-rrt-12b-lemezlejatszo-multimedia-lejatszo-3-fele-fordulatszam-keramia-hangszedo-bt-fm-radio-aux-usb-microsd-eq-rrt-12b-16577")</f>
        <v>0.0</v>
      </c>
      <c r="E1359" s="7" t="n">
        <f>HYPERLINK("https://www.somogyi.hu/data/img/product_main_images/small/16577.jpg","https://www.somogyi.hu/data/img/product_main_images/small/16577.jpg")</f>
        <v>0.0</v>
      </c>
      <c r="F1359" s="2" t="inlineStr">
        <is>
          <t>5999084946098</t>
        </is>
      </c>
      <c r="G1359" s="4" t="inlineStr">
        <is>
          <t>Gondolkodott már azon, hogyan eleveníthetné fel kedvenc régi lemezeit modern technológia segítségével? A SAL RRT 12B lemezlejátszó és multimédia lejátszó a tökéletes választás azok számára, akik a régi idők zenéjét szeretnék újraélvezni a mai digitális világban.
Ez a sokoldalú készülék vezeték nélküli Bluetooth kapcsolaton keresztül teszi lehetővé a zenehallgatást mobilkészülékekről vagy számítógépekről, miközben MP3/WMA formátumú fájlokat játszhat le USB vagy microSD eszközökről.
Az FM rádió automatikus állomáskereséssel és tárolási lehetőséggel, valamint a WAV formátumban történő felvételi funkcióval, lehetővé teszi a régi analóg hanganyagok, mint például a hanglemezek, kazetták, VHS vagy DVD-k archiválását és digitalizálását. A készülék félautomata lemezjátszóval rendelkezik, 33/45/78 fordulatszámmal, karlifttel és kikapcsolható AUTO-STOP funkcióval, biztosítva a lemezek kíméletes kezelését.
A SAL RRT 12B klasszikus fa burkolata, beépített erősítővel és két hangszóróval, nemcsak minőségi hangzást biztosít, hanem elegáns kiegészítője lehet otthonának. A szett tartalmaz egy központosító gyűrűt és pót-tűket a lemezjátszóhoz, valamint egy USB adaptert eltávolítható csatlakozókábellel az egyszerű tápellátáshoz.
Fedezze fel a zenei múltat és a jelen digitális lehetőségeit a SAL RRT 12B lemezlejátszóval, ami elegáns kiegészítője lehet otthonának és híd a múlt zenei élményei és a jelen technológiája között.</t>
        </is>
      </c>
    </row>
    <row r="1360">
      <c r="A1360" s="3" t="inlineStr">
        <is>
          <t>BT 1000</t>
        </is>
      </c>
      <c r="B1360" s="2" t="inlineStr">
        <is>
          <t>SAL BT 1000 hordozható boombox, Bluetooth kihangosító, FM rádió, USB, microSD, beépített mikrofon, RGB LED, ~15 óra üzemidő</t>
        </is>
      </c>
      <c r="C1360" s="1" t="n">
        <v>9190.0</v>
      </c>
      <c r="D1360" s="7" t="n">
        <f>HYPERLINK("https://www.somogyi.hu/product/sal-bt-1000-hordozhato-boombox-bluetooth-kihangosito-fm-radio-usb-microsd-beepitett-mikrofon-rgb-led-15-ora-uzemido-bt-1000-18185","https://www.somogyi.hu/product/sal-bt-1000-hordozhato-boombox-bluetooth-kihangosito-fm-radio-usb-microsd-beepitett-mikrofon-rgb-led-15-ora-uzemido-bt-1000-18185")</f>
        <v>0.0</v>
      </c>
      <c r="E1360" s="7" t="n">
        <f>HYPERLINK("https://www.somogyi.hu/data/img/product_main_images/small/18185.jpg","https://www.somogyi.hu/data/img/product_main_images/small/18185.jpg")</f>
        <v>0.0</v>
      </c>
      <c r="F1360" s="2" t="inlineStr">
        <is>
          <t>5999084962074</t>
        </is>
      </c>
      <c r="G1360" s="4" t="inlineStr">
        <is>
          <t>Szeretne egy olyan hordozható hangszórót, amely nem csak a zenei élményt fokozza, de látványos LED fényeffektjeivel is feldobja a hangulatot? A SAL BT 1000 hordozható boombox ideális választás mindazok számára, akik erőteljes basszushangzásra, modern dizájnra és sokoldalú funkcionalitásra vágynak egy kompakt méretű eszközben.
Ez a boombox rendkívül erőteljes basszus hangzást kínál a beépített 5 W-os passzív mélysugárzóval, így a zene minden részlete mély és dinamikus. A kiterjesztett sztereó élmény érdekében két azonos SAL BT 1000 készülék vezeték nélkül párosítható, ezáltal dupla hangerőt és még teljesebb hangzást biztosít. A Bluetooth TWS kapcsolat révén bármilyen Bluetooth-kompatibilis eszközhöz egyszerűen csatlakoztatható, így vezeték nélküli szabadságot élvezhet, bárhol is tartózkodjon.
Az eszköz beépített FM rádióval is rendelkezik, amely automatikusan hangolja be a csatornákat, így kedvenc rádióállomásait is könnyedén elérheti. Ezen kívül MP3 lejátszásra is alkalmas, USB vagy microSD eszközről, így sokoldalúan használható zenehallgatáshoz. A beépített mikrofon lehetővé teszi a kihangosított hívások fogadását, így zenehallgatás közben sem kell megszakítania a kapcsolatot a barátaival vagy kollégáival. A készülék különlegessége a kikapcsolható RGB LED fényeffektek, amelyek dinamikusan követik a zene ritmusát, feldobva a hangulatot bármilyen eseményen.
A textil bevonatú burkolat nemcsak elegáns megjelenést biztosít, de tartós és ellenálló is, így ideális társ a mindennapokban, akár otthon, akár útközben. A beépített akkumulátor hosszú, 4 órás töltéssel akár 15 órás üzemidőtis biztosít, így egész nap élvezheti kedvenc zenéit. A készülékhez tartozik egy USB-C töltőkábel, de a SAL BT 1000 kompatibilis a külön megvásárolható SA 24USB és SA 50USB töltőkkel is. Kompakt méretének (110 x 131 x 110 mm) és könnyű súlyának (0,52 kg) köszönhetően könnyen hordozható, így bárhol kéznél lehet.
Ne hagyja, hogy a zenehallgatás kompromisszumokkal járjon! Rendelje meg a SAL BT 1000 hordozható boomboxot, és élvezze a kiemelkedő hangzást, látványos fényeffektusokkal kísérve, bármerre is jár!</t>
        </is>
      </c>
    </row>
    <row r="1361">
      <c r="A1361" s="6" t="inlineStr">
        <is>
          <t xml:space="preserve">   Hangtechnika / Zenekari-Party hangdoboz</t>
        </is>
      </c>
      <c r="B1361" s="6" t="inlineStr">
        <is>
          <t/>
        </is>
      </c>
      <c r="C1361" s="6" t="inlineStr">
        <is>
          <t/>
        </is>
      </c>
      <c r="D1361" s="6" t="inlineStr">
        <is>
          <t/>
        </is>
      </c>
      <c r="E1361" s="6" t="inlineStr">
        <is>
          <t/>
        </is>
      </c>
      <c r="F1361" s="6" t="inlineStr">
        <is>
          <t/>
        </is>
      </c>
      <c r="G1361" s="6" t="inlineStr">
        <is>
          <t/>
        </is>
      </c>
    </row>
    <row r="1362">
      <c r="A1362" s="3" t="inlineStr">
        <is>
          <t>PAR2400BT</t>
        </is>
      </c>
      <c r="B1362" s="2" t="inlineStr">
        <is>
          <t>SAL PAR2400BT party hangdoboz, 160 Watt, beépített akkumulátor és LED fény, Bluetooth, USB/microSD zenelejátszás, gitár és mikrofon bemenetek, 2-utas, 3 hangszóró</t>
        </is>
      </c>
      <c r="C1362" s="1" t="n">
        <v>92790.0</v>
      </c>
      <c r="D1362" s="7" t="n">
        <f>HYPERLINK("https://www.somogyi.hu/product/sal-par2400bt-party-hangdoboz-160-watt-beepitett-akkumulator-es-led-feny-bluetooth-usb-microsd-zenelejatszas-gitar-es-mikrofon-bemenetek-2-utas-3-hangszoro-par2400bt-18980","https://www.somogyi.hu/product/sal-par2400bt-party-hangdoboz-160-watt-beepitett-akkumulator-es-led-feny-bluetooth-usb-microsd-zenelejatszas-gitar-es-mikrofon-bemenetek-2-utas-3-hangszoro-par2400bt-18980")</f>
        <v>0.0</v>
      </c>
      <c r="E1362" s="7" t="n">
        <f>HYPERLINK("https://www.somogyi.hu/data/img/product_main_images/small/18980.jpg","https://www.somogyi.hu/data/img/product_main_images/small/18980.jpg")</f>
        <v>0.0</v>
      </c>
      <c r="F1362" s="2" t="inlineStr">
        <is>
          <t>5999084969745</t>
        </is>
      </c>
      <c r="G1362" s="4" t="inlineStr">
        <is>
          <t>Hogyan teheti igazán emlékezetessé a bulikat egy professzionális party hangdoboz?
A SAL PAR2400BT party hangdoboz lenyűgöző 160 W teljesítményével és dupla mélysugárzójával garantálja a dübörgő basszusokat és a tiszta magas hangokat. Beépített akkumulátorának köszönhetően bárhová magával viheti, így a szórakozás nem korlátozódik egyetlen helyszínre. A vezeték nélküli Bluetooth kapcsolat lehetővé teszi a zenelejátszást okostelefonról vagy más eszközökről, míg a USB/microSD lejátszó és a gitár- és mikrofonbemenetek még több felhasználási lehetőséget biztosítanak. A látványos LED fényjáték pedig gondoskodik az igazi parti hangulatról.
Erőteljes hangzás és dinamikus basszus
A 2-utas hangrendszer és a bass-reflex kialakítás biztosítja a mély, telt basszusokat és a tiszta, részletgazdag hangzást. A dupla mélysugárzó segítségével minden egyes ütem érezhetővé válik, így tökéletes választás házibulikra, kerti összejövetelekre vagy kisebb rendezvényekre.
Vezeték nélküli kapcsolat és TWS funkció
A Bluetooth technológiának köszönhetően a hangdoboz vezeték nélkül csatlakoztatható okostelefonhoz, táblagéphez vagy laptophoz. A TWS (True Wireless Stereo) funkcióval két azonos hangdoboz párosítható, így még nagyobb hangerőt és lenyűgöző térhangzást érhet el.
Többféle zenelejátszási lehetőség
- MP3 lejátszás USB/microSD eszközről – csak csatlakoztassa és élvezze kedvenc zenéit
- 3,5 mm LINE bemenet – bármilyen audioeszköz könnyedén csatlakoztatható
- Gitár bemenet (6,3 mm jack) – kiváló választás zenészek és gyakorló gitárosok számára
Karaoke funkció és mikrofon csatlakozás
A két mikrofonbemenet és a visszhangosító funkció lehetővé teszi, hogy karaoke esteket rendezzen. A mikrofon csatlakoztatásával élvezheti a tiszta és élethű hangzást, miközben az egyedi hangszínszabályozással személyre szabhatja a hangját.
Látványos LED fényeffekt és praktikus kijelző
A beépített LED fényjáték nemcsak látványos vizuális élményt nyújt, hanem ritmusra reagálva erősíti a buli hangulatát. A fehér digitális kijelző segítségével mindig könnyen áttekintheti a beállításokat és a zenelejátszást.
Beépített akkumulátor és hordozhatóság
A hosszú üzemidővel rendelkező beépített akkumulátor lehetővé teszi a vezeték nélküli használatot, így bárhol élvezheti a zenét. Az automatikus töltés LED visszajelzővel biztosítja, hogy mindig figyelemmel kísérhesse az akkumulátor állapotát.
Miért érdemes a SAL PAR2400BT party hangdobozt választani?
- 160 W teljesítmény és dupla mélysugárzó a lenyűgöző hangzásért
- Bluetooth kapcsolat és TWS funkció két hangdoboz vezeték nélküli összekapcsolásához
- MP3 lejátszás USB/microSD eszközről, valamint FM rádió funkció
- Két mikrofonbemenet és gitár csatlakozó, tökéletes karaoke partikhoz és zenészek számára
- Magas/mély hangszínszabályozás és EQ beállítás minden zenei műfajhoz
- Látványos LED fényjáték, amely kikapcsolható
- Fehér digitális kijelző, amely segíti a könnyebb kezelhetőséget
- Beépített akkumulátor és automatikus töltés LED visszajelzővel
- Tartozékok: távirányító, hálózati csatlakozókábel
Ne hagyja, hogy a hangminőség vagy a kábelek korlátozzák a bulizás élményét! A SAL PAR2400BT party hangdoboz ideális választás minden olyan eseményre, ahol a hangzás, a fényhatások és a sokoldalúság a legfontosabb!</t>
        </is>
      </c>
    </row>
    <row r="1363">
      <c r="A1363" s="3" t="inlineStr">
        <is>
          <t>HT 900</t>
        </is>
      </c>
      <c r="B1363" s="2" t="inlineStr">
        <is>
          <t>SAL HT 900 hangdobozállvány, biztonsági retesz, csúszásgátló lábak, max. 40 kg, 35 mm átmérő, 110-180 cm magasság</t>
        </is>
      </c>
      <c r="C1363" s="1" t="n">
        <v>12390.0</v>
      </c>
      <c r="D1363" s="7" t="n">
        <f>HYPERLINK("https://www.somogyi.hu/product/sal-ht-900-hangdobozallvany-biztonsagi-retesz-csuszasgatlo-labak-max-40-kg-35-mm-atmero-110-180-cm-magassag-ht-900-7201","https://www.somogyi.hu/product/sal-ht-900-hangdobozallvany-biztonsagi-retesz-csuszasgatlo-labak-max-40-kg-35-mm-atmero-110-180-cm-magassag-ht-900-7201")</f>
        <v>0.0</v>
      </c>
      <c r="E1363" s="7" t="n">
        <f>HYPERLINK("https://www.somogyi.hu/data/img/product_main_images/small/07201.jpg","https://www.somogyi.hu/data/img/product_main_images/small/07201.jpg")</f>
        <v>0.0</v>
      </c>
      <c r="F1363" s="2" t="inlineStr">
        <is>
          <t>5998312761939</t>
        </is>
      </c>
      <c r="G1363" s="4" t="inlineStr">
        <is>
          <t>Olyan hangdobozállványt keres, amely egyszerre stabil, biztonságos és könnyen kezelhető? A SAL HT 900 hangdobozállvány tökéletes választás minden zene- és hangtechnikai igényhez, hiszen masszív kialakítása, nagy teherbírása és praktikus funkciói garantálják, hogy a hangdobozok mindig a legideálisabb helyzetben legyenek.
Kiváló stabilitás és biztonság
Az állvány könnyű, mégis rendkívül strapabíró konstrukcióval rendelkezik, amely akár 40 kg-os teherbírást is lehetővé tesz. A csúszásgátló lábak biztosítják, hogy az állvány minden felületen stabilan álljon, így nem kell aggódnia a hangdobozok elmozdulása miatt. A beépített biztonsági retesz további védelmet nyújt, megakadályozva a nem kívánt magasságváltozásokat.
Rugalmas magasságállítás és kompatibilitás
Az állítható magasság 110 és 180 cm között szabályozható, így az állvány tökéletesen alkalmazkodik bármilyen helyszínhez vagy hangtechnikai igényhez. A 35 mm átmérőjű tartórúd kompatibilis a legtöbb szabványos hangdobozzal, legyen szó professzionális rendszerekről vagy otthoni használatról.
Könnyű és praktikus kialakítás
A mindössze 3,2 kg súlyú SAL HT 900 állvány könnyen szállítható és egyszerűen beállítható, így ideális választás színpadi, stúdió- vagy rendezvényhasználatra. A letisztult, funkcionalitásra építő dizájn nemcsak megbízható, hanem vizuálisan is jól illeszkedik bármilyen környezetbe.
Válassza a SAL HT 900 hangdobozállványt, és emelje hangrendszerét a következő szintre – a stabilitás és a megbízhatóság garantált!</t>
        </is>
      </c>
    </row>
    <row r="1364">
      <c r="A1364" s="3" t="inlineStr">
        <is>
          <t>PAR 219BT</t>
        </is>
      </c>
      <c r="B1364" s="2" t="inlineStr">
        <is>
          <t>SAL PAR 219BT hordozható party hangdoboz, 80 W, BT, FM rádió, AUX, ~13 óra üzemidő külön LED effekt, álló és fekvő</t>
        </is>
      </c>
      <c r="C1364" s="1" t="n">
        <v>53390.0</v>
      </c>
      <c r="D1364" s="7" t="n">
        <f>HYPERLINK("https://www.somogyi.hu/product/sal-par-219bt-hordozhato-party-hangdoboz-80-w-bt-fm-radio-aux-13-ora-uzemido-kulon-led-effekt-allo-es-fekvo-par-219bt-16913","https://www.somogyi.hu/product/sal-par-219bt-hordozhato-party-hangdoboz-80-w-bt-fm-radio-aux-13-ora-uzemido-kulon-led-effekt-allo-es-fekvo-par-219bt-16913")</f>
        <v>0.0</v>
      </c>
      <c r="E1364" s="7" t="n">
        <f>HYPERLINK("https://www.somogyi.hu/data/img/product_main_images/small/16913.jpg","https://www.somogyi.hu/data/img/product_main_images/small/16913.jpg")</f>
        <v>0.0</v>
      </c>
      <c r="F1364" s="2" t="inlineStr">
        <is>
          <t>5999084949457</t>
        </is>
      </c>
      <c r="G1364" s="4" t="inlineStr">
        <is>
          <t>Egy hordozható hangdoboz, amely képes minden partit felejthetetlenné tenni? A SAL PAR 219BT party hangdoboz 80 W-os teljesítményével, lenyűgöző hangminőségével és változatos funkcióival tökéletes választás bármilyen eseményre. A modern technológia és a hordozhatóság ötvözete garantálja, hogy kedvenc zenéit bárhol és bármikor élvezheti.
Kiemelkedő teljesítmény és dinamikus hangzás
A 2 utas bassz-reflex kialakítású SAL PAR 219BT hangdoboz 45–20.000 Hz közötti frekvenciatartományban képes megszólaltatni a hangokat. A mély hangokat két 8” (200 mm) átmérőjű hangszóró, míg a magas frekvenciákat egy 1” (25,4 mm) átmérőjű hangszóró biztosítja. A 80 W-os zenei teljesítmény (60 W névleges) dinamikus és tiszta hangzást nyújt, így tökéletesen illeszkedik bármilyen zenei stílushoz.
Vezeték nélküli kapcsolódás és multifunkciós lejátszás
A Bluetooth 4.2 kapcsolat segítségével akár 10 méter távolságból is vezérelheti a zenét mobileszközéről, miközben az USB és microSD bemenetek lehetőséget biztosítanak MP3 vagy WMA fájlok lejátszására. Az AUX bemenet révén egyéb eszközökkel is könnyen összekapcsolható, legyen szó számítógépről vagy gitárról. Az FM rádió automatikus állomáskereséssel és tárolási lehetőséggel egészíti ki a funkcionalitást.
Karaoke és egyéb szórakoztató funkciók
A SAL PAR 219BT beépített KARAOKE funkcióval és mikrofonvisszhangosítóval rendelkezik, így nemcsak zenehallgatáshoz, hanem közös énekléshez is tökéletes. A hangerő, valamint a magas és mély hangok szabályozhatósága lehetővé teszi, hogy az élmény teljesen az Ön igényeihez igazodjon. Az USB/microSD eszközre történő felvétel funkcióval akár saját felvételeket is készíthet.
Könnyű hordozhatóság és praktikus kialakítás
A masszív műanyag ház ellenálló és könnyen hordozható a beépített fogantyú segítségével. Az álló vagy fekvő helyzetben is használható hangdoboz ergonomikus kialakítása egyszerű elhelyezést biztosít. A beépített akkumulátor akár 13 órás üzemidőt nyújt, míg a mellékelt hálózati töltővel könnyedén újratölthető.
Stílusos LED fények és extra tartozékok
A különleges, színváltó LED fények lenyűgöző vizuális hatást keltenek, amelyek igény szerint kikapcsolhatók. A készlethez tartozó távirányítóval minden funkció kényelmesen vezérelhető, így a zenei élmény valóban személyre szabott lehet.
Válassza a SAL PAR 219BT hordozható party hangdobozt, és hozza el a hangzás és a stílus tökéletes kombinációját – bármilyen eseményre tökéletes társ lesz!</t>
        </is>
      </c>
    </row>
    <row r="1365">
      <c r="A1365" s="3" t="inlineStr">
        <is>
          <t>PAX 42BT</t>
        </is>
      </c>
      <c r="B1365" s="2" t="inlineStr">
        <is>
          <t>SAL PAX 42BT aktív zenekari hangdoboz, multimédia lejátszó, 400/250 W, Bluetooth, USB, FM rádió, EQ</t>
        </is>
      </c>
      <c r="C1365" s="1" t="n">
        <v>111990.0</v>
      </c>
      <c r="D1365" s="7" t="n">
        <f>HYPERLINK("https://www.somogyi.hu/product/sal-pax-42bt-aktiv-zenekari-hangdoboz-multimedia-lejatszo-400-250-w-bluetooth-usb-fm-radio-eq-pax-42bt-18186","https://www.somogyi.hu/product/sal-pax-42bt-aktiv-zenekari-hangdoboz-multimedia-lejatszo-400-250-w-bluetooth-usb-fm-radio-eq-pax-42bt-18186")</f>
        <v>0.0</v>
      </c>
      <c r="E1365" s="7" t="n">
        <f>HYPERLINK("https://www.somogyi.hu/data/img/product_main_images/small/18186.jpg","https://www.somogyi.hu/data/img/product_main_images/small/18186.jpg")</f>
        <v>0.0</v>
      </c>
      <c r="F1365" s="2" t="inlineStr">
        <is>
          <t>5999084962081</t>
        </is>
      </c>
      <c r="G1365" s="4" t="inlineStr">
        <is>
          <t>Egy olyan hangrendszert keres, amely erőteljes hangzást nyújt bármilyen színpadon vagy rendezvényen? A SAL PAX 42BT aktív zenekari hangdoboz kiváló választás zenekarok, DJ-k és eseményszervezők számára, akiknek fontos a dinamika, a teljesítmény és a megbízhatóság. 
Ez a professzionális hangdoboz garantálja, hogy a közönség minden részletet tisztán halljon, miközben a rendszer könnyen kezelhető és rendkívül sokoldalú. A 400 W-os csúcsteljesítmény és 250 W RMS teljesítmény biztosítja, hogy ez a hangdoboz bármilyen méretű eseményen megállja a helyét, legyen szó kisebb bulikról vagy nagyobb koncertekről. A Bluetooth TWS (True Wireless Stereo) kapcsolat révén vezeték nélkül csatlakoztathatja eszközeit, így könnyedén lejátszhat zenét telefonról vagy tabletről. Emellett az USB eszközök és SD kártyák is támogatottak, így különféle forrásokból is képes zenét lejátszani. A beépített FM rádió automatikus állomáskereséssel rendelkezik, így kedvenc rádióállomásait is élvezheti.
A hangszínszabályozó EQ lehetővé teszi a mély és magas hangok precíz beállítását, hogy mindig az adott környezethez és stílushoz illeszkedjen a hangzás. A bemenetek széles választéka, mint az USB/SD, Bluetooth, FM, MIC és LINE, tovább növeli a rendszer rugalmasságát. A LINE és Speakon kimenetek révén akár második hangdobozt is csatlakoztathat (pl. PAX 42PRO), így egy teljes stereo 4 hangszórós rendszert hozhat létre a nagyobb eseményekhez. A hangdoboz masszív, ütésálló burkolattal rendelkezik, így kiválóan ellenáll a szállítás és felállítás közbeni sérüléseknek. 
A színpadon monitor funkcióval is használható, az oldalára fektethető kialakítás révén, míg a ∅35 mm-es állványcsatlakozó lehetővé teszi, hogy könnyen rögzítse egy hangfalállványra. A hátsó görgőpár megkönnyíti a mozgatást, így ideális választás mobil felhasználásra is. A doboz tartozékai között található egy távirányító (CR2025 elemmel), valamint a szükséges hálózati csatlakozókábel, így minden adott a gyors beüzemeléshez és használathoz.
Ne elégedjen meg a középszerű hangzással! Rendelje meg most a SAL PAX 42BT aktív zenekari hangdobozt, és tapasztalja meg a dinamikus, erőteljes hangzást minden eseményén, legyen szó koncertről, előadásról vagy rendezvényről!</t>
        </is>
      </c>
    </row>
    <row r="1366">
      <c r="A1366" s="3" t="inlineStr">
        <is>
          <t>PAS10W43S</t>
        </is>
      </c>
      <c r="B1366" s="2" t="inlineStr">
        <is>
          <t>SAL PAS10W43S professzionális oszlopsugárzó hangrendszer, max. 800 W, 25cm mélysugárzó, 4x3” szélessávú satellit hangszóró, aktív zenekari hangdoboz, Bluetooth, fém állvány</t>
        </is>
      </c>
      <c r="C1366" s="1" t="n">
        <v>207990.0</v>
      </c>
      <c r="D1366" s="7" t="n">
        <f>HYPERLINK("https://www.somogyi.hu/product/sal-pas10w43s-professzionalis-oszlopsugarzo-hangrendszer-max-800-w-25cm-melysugarzo-4x3-szelessavu-satellit-hangszoro-aktiv-zenekari-hangdoboz-bluetooth-fem-allvany-pas10w43s-18685","https://www.somogyi.hu/product/sal-pas10w43s-professzionalis-oszlopsugarzo-hangrendszer-max-800-w-25cm-melysugarzo-4x3-szelessavu-satellit-hangszoro-aktiv-zenekari-hangdoboz-bluetooth-fem-allvany-pas10w43s-18685")</f>
        <v>0.0</v>
      </c>
      <c r="E1366" s="7" t="n">
        <f>HYPERLINK("https://www.somogyi.hu/data/img/product_main_images/small/18685.jpg","https://www.somogyi.hu/data/img/product_main_images/small/18685.jpg")</f>
        <v>0.0</v>
      </c>
      <c r="F1366" s="2" t="inlineStr">
        <is>
          <t>5999084967031</t>
        </is>
      </c>
      <c r="G1366" s="4" t="inlineStr">
        <is>
          <t>Hogyan lehet egyszerre erőteljes, mégis tiszta hangzást elérni egyetlen, kompakt hangrendszerrel? 
A SAL PAS10W43S professzionális oszlopsugárzó hangrendszer pontosan ezt kínálja: látványos teljesítményt, kifinomult hangképet és sokoldalú csatlakozási lehetőségeket egyetlen eszközbe sűrítve. Kiváló választás rendezvényekhez, élő zenéhez, DJ-fellépésekhez vagy bármilyen eseményhez, ahol számít a minőség, a megbízhatóság és a hordozhatóság.
Letisztult forma, lehengerlő hangzás
Ez a 2-utas, aktív bass-reflex hangrendszer egy 10”-os mélynyomóval és négy 3”-os szélessávú neodymium hangsugárzóval dolgozik összehangoltan, hogy tökéletes egyensúlyt teremtsen a mélyek és a magasak között. A DSP digitális hangprocesszor öt előre beállított üzemmódot kínál a különböző zenei és előadói igényekhez, a BASS BOOST funkcióval pedig könnyedén kiemelhető vagy csillapítható a mélytartomány.
A beépített Class-D erősítő hatékony energiafelhasználással és meggyőző teljesítménnyel dolgozik – 400 W RMS, akár 800 W csúcsteljesítménnyel, 42–20.000 Hz-es frekvenciatartományban. A 125 dB maximális hangnyomás garantálja, hogy a hangzás még nagyobb térben is érvényesüljön.
Bluetooth és profi csatlakozások egy rendszerben
A rendszer beépített Bluetooth TWS kapcsolattal rendelkezik, így két azonos hangdoboz vezeték nélkül párosítható sztereó módban, de a vezetékes csatlakoztatás sem marad el: MIC (XLR/6,3 mm), LINE (XLR/RCA/6,3 mm) bemenetek és LINE XLR, valamint Speakon kimenetek teszik lehetővé a rugalmas hanglánc-építést. Akár egyetlen rendszerként, akár többlépcsős hangtechnikai megoldás részeként is kiválóan működik.
Kompakt és szállítható – profi felhasználásra tervezve
A karcsú, mégis masszív kialakítású MDF fa hangdoboz esztétikus megjelenésével és tartósságával is kiemelkedik. A szett részét képezi egy stabil fém állvány, egy hálózati kábel és egy Speakon csatlakozókábel, így a rendszer azonnal bevethető.
A szatellit hangszóró csupán 1,4 kg, míg a subwoofer 14,5 kg tömegű – ezáltal könnyen szállítható és gyorsan üzembe helyezhető. A rendszer teljes magassága akár 178 cm-ig állítható, így kiválóan pozicionálható színpadon, konferenciateremben vagy kültéren egyaránt.
Miért válassza a SAL PAS10W43S hangrendszert?
- Magával ragadó, tiszta és erőteljes hangzás 
- Bluetooth TWS kapcsolat – sztereó élmény vezeték nélkül 
- DSP hangprocesszor és BASS BOOST – testreszabható hangprofil 
- Kompakt, hordozható kivitel – gyors telepítés bárhol 
- Teljes csatlakoztatási szabadság – mikrofon, vonalbemenet, Speakon
Emelje rendezvényei hangzását profi szintre! Válassza a SAL PAS10W43S oszlopsugárzót, és biztosítsa a kompromisszummentes hangélményt minden alkalommal!</t>
        </is>
      </c>
    </row>
    <row r="1367">
      <c r="A1367" s="3" t="inlineStr">
        <is>
          <t>PAR 2200BT</t>
        </is>
      </c>
      <c r="B1367" s="2" t="inlineStr">
        <is>
          <t>SAL PAR 2200BT hordozható party hangdoboz, 120 W, BT, FM rádió, AUX, MP3 felvétel, automatikus gyorstöltés</t>
        </is>
      </c>
      <c r="C1367" s="1" t="n">
        <v>95990.0</v>
      </c>
      <c r="D1367" s="7" t="n">
        <f>HYPERLINK("https://www.somogyi.hu/product/sal-par-2200bt-hordozhato-party-hangdoboz-120-w-bt-fm-radio-aux-mp3-felvetel-automatikus-gyorstoltes-par-2200bt-17900","https://www.somogyi.hu/product/sal-par-2200bt-hordozhato-party-hangdoboz-120-w-bt-fm-radio-aux-mp3-felvetel-automatikus-gyorstoltes-par-2200bt-17900")</f>
        <v>0.0</v>
      </c>
      <c r="E1367" s="7" t="n">
        <f>HYPERLINK("https://www.somogyi.hu/data/img/product_main_images/small/17900.jpg","https://www.somogyi.hu/data/img/product_main_images/small/17900.jpg")</f>
        <v>0.0</v>
      </c>
      <c r="F1367" s="2" t="inlineStr">
        <is>
          <t>5999084959227</t>
        </is>
      </c>
      <c r="G1367" s="4" t="inlineStr">
        <is>
          <t>Egy minden igényt kielégítő hordozható hangdobozt keres a következő bulijához? A SAL PAR 2200BT tökéletes választás lehet Önnek, hiszen egy igazi szórakoztató központot hoz el otthonába vagy bárhová, ahová csak szeretné. 
Ez a rendkívül sokoldalú készülék nemcsak zenelejátszásra, hanem archiválásra is képes, miközben a beépített LED fények igazi party hangulatot varázsolnak.
A két mélysugárzónak és két magassugárzónak köszönhetően minden zeneszám tökéletes hangzást kap, míg a vezeték nélküli Bluetooth kapcsolat lehetővé teszi, hogy mobilkészülékéről vagy számítógépéről is zenehallgatásra használja. USB és SD kártya olvasóval felszerelve, az MP3 lejátszás mellett lehetőséget nyújt MP3 formátumba történő felvételre is, így régi kazettáit vagy lemezeit könnyedén digitalizálhatja.
Az FM rádió automatikus hangolással, valamint magas- és mélyhangszín, megabass és EQ hangeffekt beállításokkal biztosítja, hogy kedve szerint szabályozhatja a zene hangzását. Mikrofon visszhangszabályozással és karaoke funkcióval ellátott, ami garantált szórakozást nyújt az éneklés szerelmeseinek.
Beépített akkumulátorának köszönhetően a SAL PAR 2200BT akár 14 órán keresztül képes üzemelni egyetlen töltéssel, de hálózati áramról is működtethető. A kompakt, de mégis masszív kialakítású készülék könnyen hordozható. A csomag tartalmaz egy távirányítót is, amely még nagyobb kényelmet biztosít a használat során.
Ne hagyja ki ezt a tökéletes társat a következő partijához! A SAL PAR 2200BT hordozható party hangdoboz minden, amire szüksége lehet egy felejthetetlen szórakozáshoz.</t>
        </is>
      </c>
    </row>
    <row r="1368">
      <c r="A1368" s="3" t="inlineStr">
        <is>
          <t>PAP43BT</t>
        </is>
      </c>
      <c r="B1368" s="2" t="inlineStr">
        <is>
          <t>SAL PAP43BT professzionális hangdoboz, 38cm mélysugárzó, ma. 1200 W, aktív zenekari hangdoboz, Bluetooth, MP3, USB, SD, multimédia lejátszó, digitális kijelző</t>
        </is>
      </c>
      <c r="C1368" s="1" t="n">
        <v>156990.0</v>
      </c>
      <c r="D1368" s="7" t="n">
        <f>HYPERLINK("https://www.somogyi.hu/product/sal-pap43bt-professzionalis-hangdoboz-38cm-melysugarzo-ma-1200-w-aktiv-zenekari-hangdoboz-bluetooth-mp3-usb-sd-multimedia-lejatszo-digitalis-kijelzo-pap43bt-18706","https://www.somogyi.hu/product/sal-pap43bt-professzionalis-hangdoboz-38cm-melysugarzo-ma-1200-w-aktiv-zenekari-hangdoboz-bluetooth-mp3-usb-sd-multimedia-lejatszo-digitalis-kijelzo-pap43bt-18706")</f>
        <v>0.0</v>
      </c>
      <c r="E1368" s="7" t="n">
        <f>HYPERLINK("https://www.somogyi.hu/data/img/product_main_images/small/18706.jpg","https://www.somogyi.hu/data/img/product_main_images/small/18706.jpg")</f>
        <v>0.0</v>
      </c>
      <c r="F1368" s="2" t="inlineStr">
        <is>
          <t>5999084967246</t>
        </is>
      </c>
      <c r="G1368" s="4" t="inlineStr">
        <is>
          <t>Milyen hangzással lehet igazán megtölteni egy koncerttermet vagy rendezvényhelyszínt?
 A SAL PAP43BT professzionális hangdoboz kiváló választás minden zenekar, DJ vagy eseményszervező számára, aki kompromisszumok nélküli, dinamikus hangzást és sokoldalú csatlakozási lehetőségeket keres egyetlen eszközben. A modern technológiával felszerelt hangfal nem csupán a teljesítményével nyűgöz le, hanem a kényelmi funkcióival is emeli az élményt.
Kiemelkedő hangzás – akár professzionális felhasználásra is
A 2-utas aktív bass-reflex rendszer egy 15 colos (380 mm-es) hatalmas mélysugárzóval és 1,35”-os titán magas sugárzóval dolgozik, amely precíz és telt hangzást biztosít a legalacsonyabb frekvenciáktól egészen a tiszta magas hangokig. A 400 W RMS és 1200 W maximális teljesítmény meggyőző hangerőt garantál, miközben a Class-D + Class AB erősítőrendszer kiváló hatásfokot és torzításmentes kimenetet nyújt. Az eszköz 40–20.000 Hz frekvenciatartományban dolgozik, így ideális választás bármilyen zenei műfajhoz vagy hangosítási célra.
Bluetooth, USB, SD – zene bárhonnan
A SAL PAP43BT hangdoboz beépített Bluetooth vevővel rendelkezik, így vezeték nélkül is pillanatok alatt csatlakoztatható okoseszközökhöz. A USB és SD kártyaolvasók lehetővé teszik az MP3, WAV, FLAC, WMA és APE fájlok közvetlen lejátszását, az alfanumerikus digitális kijelző pedig jól átlátható menürendszert biztosít a gyors vezérléshez.
Professzionális csatlakozók – minden igényt kielégít
A hangdoboz MIC bemenettel (XLR), LINE 1 és LINE 2 (6,3 mm jack és RCA), valamint XLR vonalkimenettelis felszerelt, így egyszerre több eszköz vagy mikrofon is csatlakoztatható. A magas- és mélyhangszínszabályzóvalminden hangzás egyéni igények szerint testre szabható. Továbbá a rendszer tetszőleges számú hangdoboz sorolását is lehetővé teszi, így könnyedén bővíthető.
Robusztus kialakítás – színpadra és útközben is
A masszív, ütésálló ház biztosítja, hogy a hangdoboz hosszú távon is ellenáll a kemény használatnak. A színpadi monitor funkció révén oldalára fektetve is használható, míg a ∅35 mm-es állványkompatibilitás segít az optimális pozícionálásban. A mindössze 18 kg-os súly és a kompakt kialakítás garantálja a könnyű szállíthatóságot.
Miért érdemes a SAL PAP43BT hangdobozt választani?
- 15” mélysugárzóval szerelt, erőteljes hangélmény 
- Bluetooth, USB és SD csatlakozás – zene közvetlenül 
- Többféle bemenet és hangszínszabályzás 
- Strapabíró kivitel színpadra és kültérre 
- Vezetékkel sorolható – bármilyen rendezvényhez skálázható
Lépjen a profi hangzás világába a SAL PAP43BT hangdoboz segítségével – és szóljon minden rendezvény úgy, ahogyan azt megálmodta!</t>
        </is>
      </c>
    </row>
    <row r="1369">
      <c r="A1369" s="3" t="inlineStr">
        <is>
          <t>PAR20BTC</t>
        </is>
      </c>
      <c r="B1369" s="2" t="inlineStr">
        <is>
          <t>SAL PAR20BTC party hangdoboz, 2-utas hangrendszer, bass-reflex mélysugárzó, Bluetooth, FM rádió, digitális kijelző, LED fényeffekt</t>
        </is>
      </c>
      <c r="C1369" s="1" t="n">
        <v>31590.0</v>
      </c>
      <c r="D1369" s="7" t="n">
        <f>HYPERLINK("https://www.somogyi.hu/product/sal-par20btc-party-hangdoboz-2-utas-hangrendszer-bass-reflex-melysugarzo-bluetooth-fm-radio-digitalis-kijelzo-led-fenyeffekt-par20btc-18927","https://www.somogyi.hu/product/sal-par20btc-party-hangdoboz-2-utas-hangrendszer-bass-reflex-melysugarzo-bluetooth-fm-radio-digitalis-kijelzo-led-fenyeffekt-par20btc-18927")</f>
        <v>0.0</v>
      </c>
      <c r="E1369" s="7" t="n">
        <f>HYPERLINK("https://www.somogyi.hu/data/img/product_main_images/small/18927.jpg","https://www.somogyi.hu/data/img/product_main_images/small/18927.jpg")</f>
        <v>0.0</v>
      </c>
      <c r="F1369" s="2" t="inlineStr">
        <is>
          <t>5999084969219</t>
        </is>
      </c>
      <c r="G1369" s="4" t="inlineStr">
        <is>
          <t>Hogyan teheti a bulijait igazán emlékezetessé egy kompakt, mégis erőteljes hangdoboz segítségével? 
A SAL PAR20BTC party hangdoboz a tökéletes választás, ha erőteljes hangzásra, látványos LED fényeffektekre és sokoldalú funkciókra vágyik. Ez a 2-utas hangrendszerrel és bass-reflex mélysugárzóval felszerelt készülék a zene szerelmeseinek és a szórakozás mestereinek készült. Bluetooth kapcsolatának, FM rádiójának és karaoke funkciójának köszönhetően minden party középpontja lehet.
Kiváló hangzás és sokoldalú zenelejátszás 
A 2-utas hangrendszer és a bass-reflex mélysugárzó biztosítja a mély és gazdag hangzást, amely bármilyen zenei stílushoz illeszkedik. A készülék támogatja a vezeték nélküli Bluetooth kapcsolatot, amely lehetővé teszi, hogy kedvenc zenéit közvetlenül okostelefonjáról vagy más eszközről streamelje. Az USB eszközök támogatása és az FM rádió automatikus állomáskereséssel további zenei forrásokat kínál, így soha nem fogy ki a lehetőségekből.
Látványos LED fényeffektek és digitális kijelző 
A beépített LED fényeffekt vizuális élményt nyújt, amely tökéletesen kiegészíti a zenét és feldobja a hangulatot. A készülék digitális kijelzője segít az egyszerű kezelésben és az információk gyors megjelenítésében, legyen szó a lejátszási módról, rádióállomásokról vagy az akkumulátor állapotáról.
Karaoke funkció és sokoldalú csatlakoztatási lehetőségek 
A mikrofon csatlakozó és a karaoke funkció garantálja, hogy bármely esemény szórakoztatóbb legyen. Az AUX bemenet (3,5 mm) lehetővé teszi, hogy vezetékes eszközöket csatlakoztasson, például MP3-lejátszót vagy laptopot. Ezek a funkciók minden közönség számára vonzóvá teszik a SAL PAR20BTC hangdobozt.
Hordozhatóság és hosszú üzemidő 
A beépített akkumulátor akár 10 órás üzemidőt biztosít, így hosszabb események során sem hagyja cserben. Ha lemerült, a külön megvásárolható SA 24USB vagy az SA 50USB töltőkkel fel is töltheti a PAR20BTC-t. A készülék könnyű és kompakt kialakításának köszönhetően egyszerűen hordozható, miközben masszív szerkezete garantálja a tartósságot. Az akkumulátor automatikus töltése és a LED visszajelző segíti a kényelmes használatot.
Miért válassza a SAL PAR20BTC party hangdobozt? 
– Kiváló hangminőség erőteljes mélysugárzóval és 2-utas rendszerek.
 – Látványos LED fényeffektek a még szórakoztatóbb eseményekért. 
– Széleskörű csatlakoztatási lehetőségek, beleértve a Bluetooth-t és az AUX bemenetet. 
– Karaoke funkció, amely garantáltan feldobja a bulikat. 
– Hosszú üzemidő és hordozhatóság, hogy bárhol használható legyen.
Tegye felejthetetlenné bulijait a SAL PAR20BTC party hangdobozzal! Tapasztalja meg a lenyűgöző hangzást, látványt és sokoldalúságot egyetlen készülékben!</t>
        </is>
      </c>
    </row>
    <row r="1370">
      <c r="A1370" s="3" t="inlineStr">
        <is>
          <t>HT 901</t>
        </is>
      </c>
      <c r="B1370" s="2" t="inlineStr">
        <is>
          <t>SAL HT 901 hangfalállvány-hüvely, 35 mm átmérőhöz, max. 40 kg</t>
        </is>
      </c>
      <c r="C1370" s="1" t="n">
        <v>3290.0</v>
      </c>
      <c r="D1370" s="7" t="n">
        <f>HYPERLINK("https://www.somogyi.hu/product/sal-ht-901-hangfalallvany-huvely-35-mm-atmerohoz-max-40-kg-ht-901-8009","https://www.somogyi.hu/product/sal-ht-901-hangfalallvany-huvely-35-mm-atmerohoz-max-40-kg-ht-901-8009")</f>
        <v>0.0</v>
      </c>
      <c r="E1370" s="7" t="n">
        <f>HYPERLINK("https://www.somogyi.hu/data/img/product_main_images/small/08009.jpg","https://www.somogyi.hu/data/img/product_main_images/small/08009.jpg")</f>
        <v>0.0</v>
      </c>
      <c r="F1370" s="2" t="inlineStr">
        <is>
          <t>5998312769645</t>
        </is>
      </c>
      <c r="G1370" s="4" t="inlineStr">
        <is>
          <t>Szüksége van egy megbízható megoldásra, hogy hangdobozát stabilan és biztonságosan állványra helyezze? A SAL HT 901 hangfalállvány-hüvely ideális választás minden 35 mm átmérőjű rúddal rendelkező állványhoz. Ez a strapabíró és könnyen telepíthető kiegészítő lehetővé teszi, hogy hangdobozát professzionális szinten helyezze el, akár rendezvények, színpadi fellépések vagy otthoni használat során.
Stabil és biztonságos rögzítés
A SAL HT 901 hüvely könnyen a hangdoboz aljába süllyeszthető, biztosítva a hangfal szilárd és stabil rögzítését az állványon. A maximális, 40 kg-os teherbírás garantálja, hogy még a nehezebb hangdobozok is biztonságosan helyezhetők el.
Széleskörű kompatibilitás
Ez a hüvely kifejezetten 35 mm átmérőjű rúddal rendelkező állványokhoz készült, így tökéletesen kompatibilis például a SAL HT 900 hangdobozállvánnyal. Rugalmasságának köszönhetően más, hasonló specifikációval rendelkező állványokkal is használható, így széleskörű alkalmazási lehetőséget biztosít.
Tartós és egyszerű kialakítás
A hüvely masszív anyagból készült, amely ellenáll a gyakori használatnak, és hosszú távon is megbízható teljesítményt nyújt. Egyszerű kialakítása könnyű telepítést tesz lehetővé, így gyorsan és problémamentesen rögzítheti hangdobozát az állványon.
Válassza a SAL HT 901 hangfalállvány-hüvelyt, és tegye hangrendszerét stabilabbá és biztonságosabbá – a minőség és a funkcionalitás garantált!</t>
        </is>
      </c>
    </row>
    <row r="1371">
      <c r="A1371" s="3" t="inlineStr">
        <is>
          <t>PAR 20BT</t>
        </is>
      </c>
      <c r="B1371" s="2" t="inlineStr">
        <is>
          <t>SAL PAR 20BT hordozható party hangdoboz, 40 W, BT, FM rádió, AUX, ~10 óra üzemidő</t>
        </is>
      </c>
      <c r="C1371" s="1" t="n">
        <v>31590.0</v>
      </c>
      <c r="D1371" s="7" t="n">
        <f>HYPERLINK("https://www.somogyi.hu/product/sal-par-20bt-hordozhato-party-hangdoboz-40-w-bt-fm-radio-aux-10-ora-uzemido-par-20bt-16384","https://www.somogyi.hu/product/sal-par-20bt-hordozhato-party-hangdoboz-40-w-bt-fm-radio-aux-10-ora-uzemido-par-20bt-16384")</f>
        <v>0.0</v>
      </c>
      <c r="E1371" s="7" t="n">
        <f>HYPERLINK("https://www.somogyi.hu/data/img/product_main_images/small/16384.jpg","https://www.somogyi.hu/data/img/product_main_images/small/16384.jpg")</f>
        <v>0.0</v>
      </c>
      <c r="F1371" s="2" t="inlineStr">
        <is>
          <t>5999084944162</t>
        </is>
      </c>
      <c r="G1371" s="4" t="inlineStr">
        <is>
          <t>A PAR 20BT Party hangdoboz hordozható, masszív kivitelben készült, hogy bárhová magával tudja vinni. Könnyű súlya által minden összejövetel és rendezvény elengedhetetlen eszköze lesz a jó hangulat megteremtéséhez. A LED fényeffekt látványos megjelenést biztosít a készüléknek. 
A beépített Li-ion akkumulátornak köszönhetően akár 10 óra üzemidőre is képes egy töltéssel. 
A készülék vezeték nélküli BT kapcsolattal csatlakoztatható mobiltelefonhoz és számítógéphez is egyaránt. Ha pedig a rádiót szeretné hallgatni, úgy automatikus hangolással beállíthatóak rajta a csatornák. A hordozható hangszóró MP3 lejátszást is biztosít USB eszközről. 
Nem csak USB bemenettel ellátott, de KARAOKE mikrofonbemenettel és AUX audio (3,5 mm) bemenettel is. 
A Hordozható party hangdoboz tartozékai a microUSB hálózati töltőkábel és a távirányító.</t>
        </is>
      </c>
    </row>
    <row r="1372">
      <c r="A1372" s="3" t="inlineStr">
        <is>
          <t>BT4000</t>
        </is>
      </c>
      <c r="B1372" s="2" t="inlineStr">
        <is>
          <t>SAL BT4000 vezeték nélküli hangszóró, 2 x 8 W, Bass-reflex, AUX, beépített mikrofon, Soft Touch gombok,~18 h üzemidő, tartozék USB-C kábel</t>
        </is>
      </c>
      <c r="C1372" s="1" t="n">
        <v>15290.0</v>
      </c>
      <c r="D1372" s="7" t="n">
        <f>HYPERLINK("https://www.somogyi.hu/product/sal-bt4000-vezetek-nelkuli-hangszoro-2-x-8-w-bass-reflex-aux-beepitett-mikrofon-soft-touch-gombok-18-h-uzemido-tartozek-usb-c-kabel-bt4000-18455","https://www.somogyi.hu/product/sal-bt4000-vezetek-nelkuli-hangszoro-2-x-8-w-bass-reflex-aux-beepitett-mikrofon-soft-touch-gombok-18-h-uzemido-tartozek-usb-c-kabel-bt4000-18455")</f>
        <v>0.0</v>
      </c>
      <c r="E1372" s="7" t="n">
        <f>HYPERLINK("https://www.somogyi.hu/data/img/product_main_images/small/18455.jpg","https://www.somogyi.hu/data/img/product_main_images/small/18455.jpg")</f>
        <v>0.0</v>
      </c>
      <c r="F1372" s="2" t="inlineStr">
        <is>
          <t>5999084964733</t>
        </is>
      </c>
      <c r="G1372" s="4" t="inlineStr">
        <is>
          <t>Kíváncsi arra, hogyan viheti magával a minőségi zenei élményt bárhová? A SAL BT4000 vezeték nélküli hangszóróval a HiFi Stereo minőségű hangzás mostantól Önnek is elérhetővé válik.
Ez a készülék egy beépített bass-reflex mélysugárzóval rendelkezik, amely gazdag és mély basszust biztosít. A vezeték nélküli BT TWS kapcsolatnak köszönhetően két azonos készülék könnyedén párosítható, így duplázva a zenei élményt. Az AUX vezetékes bemenettel és a telefon kihangosításra alkalmas beépített mikrofonnal nem csak zenehallgatásra, de konferenciahívások lebonyolítására is tökéletes.
A 2x8W-os stereo kimeneti teljesítmény, az extra hosszú üzemidő, a letisztult, időtlen dizájn, valamint a „Soft Touch” gombok mind hozzájárulnak ahhoz, hogy a SAL BT4000 az Ön nélkülözhetetlen társa legyen. Az eltávolítható gumi hordfül praktikussá teszi szállítását. A csomag tartalmazza a USB-C töltőkábelt és egy AUX kábelt is.
Ne várjon tovább, hozza ki a legtöbbet a zenei élményekből a SAL BT4000 vezeték nélküli hangszóróval!</t>
        </is>
      </c>
    </row>
    <row r="1373">
      <c r="A1373" s="3" t="inlineStr">
        <is>
          <t>BTWORKY</t>
        </is>
      </c>
      <c r="B1373" s="2" t="inlineStr">
        <is>
          <t>SAL BTWORKY munka és szabadidő hangszóró, 8 W, FM rádió, BT TWS, USB/microSD, AUX, RGB LED, USB-C töltőkábel, ~20 h üzemidő</t>
        </is>
      </c>
      <c r="C1373" s="1" t="n">
        <v>15690.0</v>
      </c>
      <c r="D1373" s="7" t="n">
        <f>HYPERLINK("https://www.somogyi.hu/product/sal-btworky-munka-es-szabadido-hangszoro-8-w-fm-radio-bt-tws-usb-microsd-aux-rgb-led-usb-c-toltokabel-20-h-uzemido-btworky-18443","https://www.somogyi.hu/product/sal-btworky-munka-es-szabadido-hangszoro-8-w-fm-radio-bt-tws-usb-microsd-aux-rgb-led-usb-c-toltokabel-20-h-uzemido-btworky-18443")</f>
        <v>0.0</v>
      </c>
      <c r="E1373" s="7" t="n">
        <f>HYPERLINK("https://www.somogyi.hu/data/img/product_main_images/small/18443.jpg","https://www.somogyi.hu/data/img/product_main_images/small/18443.jpg")</f>
        <v>0.0</v>
      </c>
      <c r="F1373" s="2" t="inlineStr">
        <is>
          <t>5999084964610</t>
        </is>
      </c>
      <c r="G1373" s="4" t="inlineStr">
        <is>
          <t>Egy robusztus hangszórót keres, amely tökéletes társ lehet munka közben és a szabadidős tevékenységek során is? A SAL BTWORKY munka és szabadidő hangszóró minden igényt kielégít, legyen szó munkahelyi használatról vagy kikapcsolódásról.
Ez a könnyű, mégis masszív multimédia lejátszó ideális választás bármilyen környezetben. A karcolás- és ütésálló burkolata ellenáll a mindennapi használat kihívásainak, míg a hosszú üzemidő biztosítja, hogy akár egész nap társunk maradhat. Automatikus FM rádió hangolás, vezeték nélküli Bluetooth TWS kapcsolat, valamint USB és microSD zenelejátszási lehetőségek kiegészítve egy AUX vezetékes bemenettel és szabályozható KARAOKE mikrofon bemenettel teszik sokoldalúvá a készüléket.
Az integrált szélessávú, bassz-reflex hangszórók (8W) és az RGB LED világítás nem csak kiváló hangzást, de látványos megjelenést is nyújtanak. A beépített akkumulátor gyorsan és automatikusan tölthető, így a hangszóró mindig készen áll a használatra.
Válassza a SAL BTWORKY-t, amely nem csak megbízható és strapabíró, de stílusos kiegészítője is lehet minden munkahelynek vagy otthoni környezetnek. Tökéletes választás azok számára, akik nem akarnak kompromisszumot kötni a minőség és tartósság terén.</t>
        </is>
      </c>
    </row>
    <row r="1374">
      <c r="A1374" s="3" t="inlineStr">
        <is>
          <t>BTWORKPRO</t>
        </is>
      </c>
      <c r="B1374" s="2" t="inlineStr">
        <is>
          <t>SAL BTWORKPRO munka- és szabadidő hangszóró, multimédia lejátszó, Bluetooth, LED lámpa, power bank, IP55, ütésálló</t>
        </is>
      </c>
      <c r="C1374" s="1" t="n">
        <v>28790.0</v>
      </c>
      <c r="D1374" s="7" t="n">
        <f>HYPERLINK("https://www.somogyi.hu/product/sal-btworkpro-munka-es-szabadido-hangszoro-multimedia-lejatszo-bluetooth-led-lampa-power-bank-ip55-utesallo-btworkpro-19020","https://www.somogyi.hu/product/sal-btworkpro-munka-es-szabadido-hangszoro-multimedia-lejatszo-bluetooth-led-lampa-power-bank-ip55-utesallo-btworkpro-19020")</f>
        <v>0.0</v>
      </c>
      <c r="E1374" s="7" t="n">
        <f>HYPERLINK("https://www.somogyi.hu/data/img/product_main_images/small/19020.jpg","https://www.somogyi.hu/data/img/product_main_images/small/19020.jpg")</f>
        <v>0.0</v>
      </c>
      <c r="F1374" s="2" t="inlineStr">
        <is>
          <t>5999084970147</t>
        </is>
      </c>
      <c r="G1374" s="4" t="inlineStr">
        <is>
          <t>Képzelje el, milyen szórakoztatóvá válhat a munkavégzés, ha egyetlen készülék képes minden igényét kielégíteni! A SAL BTWORKPRO hangszóró valódi multifunkciós partner, amelyet por-, víz- és ütésállósága (IP55) tesz kiemelkedően strapabíróvá. 
Ez a stabil, masszív konstrukció nemcsak a munkakörnyezetben, hanem szabadidős tevékenységek során is kitűnően helytáll. Az eszköz jól látható, világító órakijelzője révén bármilyen környezetben könnyedén követheti az időt, míg az oldalsó, nagyméretű LED lámpa akár sötétebb helyszíneken is megfelelő fényt biztosít. A tetején található praktikus mobiltelefon-tartó tálca lehetővé teszi, hogy a telefonját kényelmesen és biztonságosan elhelyezze. 
A beépített power bank funkciónak köszönhetően USB-C porton keresztül töltheti mobilját, így mindig elérhető marad. A szórakoztatásról az FM rádió gondoskodik, amely kézi és automatikus hangolással egyaránt működik, valamint a vezeték nélküli Bluetooth kapcsolaton keresztül kedvenc zenéit hallgathatja. Az USB bemenet és az AUX audio csatlakozás (3,5 mm) lehetővé teszi, hogy szinte bármilyen eszközről lejátszhassa a zenét, sőt, ha a környezete megkívánja, a fejhallgató kimenet (3,5 mm) diszkrét zenehallgatást tesz lehetővé.
A szélessávú, 10W teljesítményű hangszóró kiváló hangminőséget nyújt, amelyet az extra hosszú üzemidőt biztosító, beépített akkumulátor működtet. Egyetlen feltöltéssel körülbelül 18 órás zenehallgatási időt érhet el. A gyors töltés érdekében a termékhez egy USB-C töltőkábelt is mellékelünk, és az SA 24USB vagy SA 50USB hálózati töltőkkel is tökéletesen kompatibilis.
Ne habozzon! Szerezze be most a SAL BTWORKPRO hangszórót, és tapasztalja meg, milyen, amikor egy készülék több szerepet is tökéletesen betölt, hogy Ön bárhol élvezhesse a minőségi hangélményt!</t>
        </is>
      </c>
    </row>
    <row r="1375">
      <c r="A1375" s="3" t="inlineStr">
        <is>
          <t>PAR2100BT</t>
        </is>
      </c>
      <c r="B1375" s="2" t="inlineStr">
        <is>
          <t>SAL PAR2100BT party hangdoboz, 80W, beépített akkumulátor és LED fénnyel, Bluetooth, AUX és mikrofon bemenetek, 2-utas, 3 hangszóró</t>
        </is>
      </c>
      <c r="C1375" s="1" t="n">
        <v>64490.0</v>
      </c>
      <c r="D1375" s="7" t="n">
        <f>HYPERLINK("https://www.somogyi.hu/product/sal-par2100bt-party-hangdoboz-80w-beepitett-akkumulator-es-led-fennyel-bluetooth-aux-es-mikrofon-bemenetek-2-utas-3-hangszoro-par2100bt-18979","https://www.somogyi.hu/product/sal-par2100bt-party-hangdoboz-80w-beepitett-akkumulator-es-led-fennyel-bluetooth-aux-es-mikrofon-bemenetek-2-utas-3-hangszoro-par2100bt-18979")</f>
        <v>0.0</v>
      </c>
      <c r="E1375" s="7" t="n">
        <f>HYPERLINK("https://www.somogyi.hu/data/img/product_main_images/small/18979.jpg","https://www.somogyi.hu/data/img/product_main_images/small/18979.jpg")</f>
        <v>0.0</v>
      </c>
      <c r="F1375" s="2" t="inlineStr">
        <is>
          <t>5999084969738</t>
        </is>
      </c>
      <c r="G1375" s="4" t="inlineStr">
        <is>
          <t>Hogyan teheti felejthetetlenné a bulikat egy nagy teljesítményű party hangdoboz?
A SAL PAR2100BT party hangdoboz tökéletes választás, ha erőteljes hangzást és látványos fényhatásokat keres egy eszközben. 80 W teljesítményével és dupla mélysugárzójával garantáltan dinamikus, telt hangzást biztosít, legyen szó házibuliról, kerti partiról vagy akár egy kisebb rendezvényről. A vezeték nélküli Bluetooth kapcsolat lehetővé teszi a zenelejátszást okostelefonról, tabletről vagy más eszközről, míg a beépített akkumulátor gondoskodik arról, hogy bárhol és bármikor használható legyen.
Erőteljes hangzás, mély basszusok
A 2-utas hangrendszer és a bass-reflex kialakítás biztosítja a tiszta és dinamikus hangzást, amely tökéletesen érvényesül minden zenei stílusban. A dupla mélysugárzó mély, dübörgő basszust nyújt, amely garantáltan feldobja a hangulatot. A magas/mély és EQ hangszínszabályozás segítségével minden jelforráshoz tökéletesen beállítható a hangzás.
Vezeték nélküli kapcsolat és TWS funkció
A hangdoboz Bluetooth kapcsolattal rendelkezik, így bármilyen kompatibilis eszközzel könnyedén párosítható. A vezeték nélküli TWS funkció lehetővé teszi, hogy két azonos hangdobozt egymáshoz csatlakoztatva még nagyobb hangerőt és térhatást érjen el.
Sokoldalú zenelejátszási lehetőségek
- MP3 lejátszás USB/microSD eszközről
- AUX audio bemenet (3,5 mm jack) más audioeszközök csatlakoztatására
Látványos LED fényeffektek
A beépített extra látványos LED fényhatások vizuális élményt is nyújtanak, így a zene ritmusára pulzáló fények még hangulatosabbá teszik a bulit. Ha azonban egy csendesebb környezetre van szükség, a fényjáték egyszerűen kikapcsolható.
Karaoke funkció és mikrofon csatlakozási lehetőségek
A két mikrofon csatlakozó lehetőséget biztosít arra, hogy közös éneklésben vagy akár egy karaoke versenyben is részt vegyen. A visszhangosító funkció profi hatást kelt, míg a KARAOKE funkció elnyomja az eredeti énekes hangját, így a felhasználók saját előadásukat élvezhetik. Továbbá a mikrofonok hangja rögzíthető USB/microSD tárolóra, így az emlékezetes pillanatokat később is visszahallgathatja.
Hordozható kialakítás és beépített akkumulátor
A beépített akkumulátor biztosítja a zenelejátszást akár hosszabb ideig is, töltöttségét pedig a LED visszajelző mutatja. A csomag tartalmaz egy USB-C töltőkábelt, amely gyors és kényelmes töltést tesz lehetővé. Ajánlott töltő: SA 24USB, SA 50USB.
Miért érdemes a SAL PAR2100BT party hangdobozt választani?
- 80 W teljesítmény, erőteljes és tiszta hangzás
- Bluetooth és TWS kapcsolat két azonos hangdoboz vezeték nélküli párosításához
- MP3 lejátszás USB/microSD eszközről
- Extra látványos LED fényeffekt, amely kikapcsolható
- Két mikrofon csatlakozó és karaoke funkció, amely elnyomja az eredeti énekhangot
- AUX bemenet (3,5 mm jack) más eszközök csatlakoztatására
- Beépített akkumulátor automatikus töltés LED visszajelzővel
- Tartozékok: távirányító, USB-C töltőkábel
Ne hagyja, hogy egy átlagos hangszóró visszafogja a buli hangulatát! A SAL PAR2100BT party hangdoboz mindent tud, amire egy felejthetetlen összejövetelhez szükség lehet – dübörgő basszus, látványos fények és kiváló hangzás egyetlen kompakt eszközben!</t>
        </is>
      </c>
    </row>
    <row r="1376">
      <c r="A1376" s="3" t="inlineStr">
        <is>
          <t>PAX 42PRO</t>
        </is>
      </c>
      <c r="B1376" s="2" t="inlineStr">
        <is>
          <t>SAL PAX 42PRO zenekari hangdoboz, 400/250 W, titánium magassugárzó, 15" mélysugárzó, színpadi monitor funkció</t>
        </is>
      </c>
      <c r="C1376" s="1" t="n">
        <v>77790.0</v>
      </c>
      <c r="D1376" s="7" t="n">
        <f>HYPERLINK("https://www.somogyi.hu/product/sal-pax-42pro-zenekari-hangdoboz-400-250-w-titanium-magassugarzo-15-melysugarzo-szinpadi-monitor-funkcio-pax-42pro-18187","https://www.somogyi.hu/product/sal-pax-42pro-zenekari-hangdoboz-400-250-w-titanium-magassugarzo-15-melysugarzo-szinpadi-monitor-funkcio-pax-42pro-18187")</f>
        <v>0.0</v>
      </c>
      <c r="E1376" s="7" t="n">
        <f>HYPERLINK("https://www.somogyi.hu/data/img/product_main_images/small/18187.jpg","https://www.somogyi.hu/data/img/product_main_images/small/18187.jpg")</f>
        <v>0.0</v>
      </c>
      <c r="F1376" s="2" t="inlineStr">
        <is>
          <t>5999084962098</t>
        </is>
      </c>
      <c r="G1376" s="4" t="inlineStr">
        <is>
          <t>Gondolkodott már azon, hogy a zenei produkciójának hogyan biztosíthatna még tisztább és erőteljesebb hangzást? A SAL PAX 42PRO zenekari hangdoboz ideális választás azok számára, akik professzionális minőségű, dinamikus hangzást keresnek színpadi és zenekari használatra. 
Ez a hangdoboz nemcsak erőteljes teljesítménnyel, de precíz és tiszta hangreprodukcióval is büszkélkedhet, így minden zenei műfajban kiváló. A 400 W csúcsteljesítmény és a 250 W RMS lehetővé teszi, hogy a legigényesebb hangosítási feladatok során is megállja a helyét. A 15” mélysugárzó biztosítja a mély, telt basszusokat, míg a titánium magassugárzó gondoskodik arról, hogy a magas frekvenciák is kristálytisztán szólaljanak meg. Ez a kombináció rendkívül dinamikus és kiegyensúlyozott hangzást eredményez, amely minden közönséget lenyűgöz.
A SAL PAX 42PRO a Speakon hangszóró aljzaton keresztül könnyen csatlakoztatható aktív hangszórókhoz vagy erősítőkhöz, így rugalmasan beilleszthető bármilyen meglévő rendszerbe. Különösen jól párosítható a PAX 42BT aktív hangdobozzal, amely együtt egy teljes értékű hangrendszert alkot, ideális választás nagyobb színpadokhoz, rendezvényekhez vagy zenekari fellépésekhez. A színpadi használatot támogatja a monitor funkció, mely lehetővé teszi, hogy a hangdobozt az oldalára fektetve használja, így a zenekar tagjai pontos visszajelzést kaphatnak a hangzásról. A ∅35 mm-es állványcsatlakozó révén egyszerűen felhelyezhető hangfalállványra is, míg a masszív, ütésálló burkolat és a hátsó görgőpár biztosítja a könnyű szállítást és hosszú élettartamot, még gyakori mozgatás esetén is. Ez a professzionális hangdoboz a tökéletes választás mindazok számára, akik kompromisszumok nélküli hangminőséget és megbízható teljesítményt keresnek.
Ne hagyja, hogy bármilyen technikai akadály visszatartsa produkciója sikerétől! Rendelje meg a SAL PAX 42PRO zenekari hangdobozt, és biztosítsa a kiváló hangzást minden eseményén!</t>
        </is>
      </c>
    </row>
    <row r="1377">
      <c r="A1377" s="3" t="inlineStr">
        <is>
          <t>PAS12W243S</t>
        </is>
      </c>
      <c r="B1377" s="2" t="inlineStr">
        <is>
          <t>SAL PAS12W243S sztereó professzionális oszlopsugárzó hangrendszer, 800 W, Bluetooth TWS, 9db hangsugárzó, színes képernyő, állvány, DSP hangprocesszor</t>
        </is>
      </c>
      <c r="C1377" s="1" t="n">
        <v>293990.0</v>
      </c>
      <c r="D1377" s="7" t="n">
        <f>HYPERLINK("https://www.somogyi.hu/product/sal-pas12w243s-sztereo-professzionalis-oszlopsugarzo-hangrendszer-800-w-bluetooth-tws-9db-hangsugarzo-szines-kepernyo-allvany-dsp-hangprocesszor-pas12w243s-19114","https://www.somogyi.hu/product/sal-pas12w243s-sztereo-professzionalis-oszlopsugarzo-hangrendszer-800-w-bluetooth-tws-9db-hangsugarzo-szines-kepernyo-allvany-dsp-hangprocesszor-pas12w243s-19114")</f>
        <v>0.0</v>
      </c>
      <c r="E1377" s="7" t="n">
        <f>HYPERLINK("https://www.somogyi.hu/data/img/product_main_images/small/19114.jpg","https://www.somogyi.hu/data/img/product_main_images/small/19114.jpg")</f>
        <v>0.0</v>
      </c>
      <c r="F1377" s="2" t="inlineStr">
        <is>
          <t>5999084971076</t>
        </is>
      </c>
      <c r="G1377" s="4" t="inlineStr">
        <is>
          <t>Hogyan biztosíthatja egyetlen eszközzel a lenyűgöző hangélményt akár nagyobb eseményeken is? 
A SAL PAS12W243S sztereó professzionális oszlopsugárzó hangrendszer tökéletes választás azok számára, akik kompromisszumok nélküli hangzást keresnek. A kivételes 800 wattos teljesítmény, az intelligens hangprocesszor és a hordozható kialakítás garantálja, hogy minden esemény – legyen szó rendezvényről, élő előadásról vagy DJ fellépésről – valódi élménnyé váljon.
Kiváló hangminőség és kimagasló teljesítmény
A hangrendszer egy 2-utas, aktív bass-reflex konstrukció, amelyben összesen 9 beépített hangsugárzó gondoskodik a telt és kiegyensúlyozott hangzásról. Az 8 db 3”-os szélessávú neodymium hangszóró mellé egy nagy teljesítményű 12”-os mélysugárzó társul, amely még a mély frekvenciatartományban is kiemelkedően teljesít. A Class-D típusú erősítő technológia energiahatékony működést, ugyanakkor dinamikus hangzást biztosít.
Modern vezérlés és sokoldalú csatlakozás
A készülék színes, grafikus kijelzője segítségével egyszerűen beállíthatók a kívánt hangparaméterek. A DSP digitális hangprocesszor pontos hangszínszabályozást tesz lehetővé, külön mély-, közép- és magasfrekvenciákra. A csatornánként állítható hangszínszabályzók révén a hangélmény teljes mértékben testreszabható.
A SAL PAS12W243S hangrendszer Bluetooth TWS funkcióval is rendelkezik, amely lehetővé teszi két azonos eszköz vezeték nélküli sztereó párosítását, így akár dupla hangteljesítményt is elérhet. Emellett vezetékes módon is több hangdoboz sorolható egymás után, így tetszőleges számú hangfalrendszer építhető ki.
Professzionális csatlakozók és intuitív kezelhetőség
A hangfal hátoldalán többféle bemeneti lehetőség áll rendelkezésre:
- MIC: XLR/6,3 mm
- LINE: XLR / RCA / 6,3 mm jack
- Bluetooth kapcsolat
A kimeneti oldalon:
- LINE OUT: XLR
- Speakon hangszóró aljzatok 
A túlvezérlést jelző LED visszajelzés segít az optimális hangerő megtartásában.
Mobilitás és tartósság egyben
A masszív MDF fa hangdoboz nemcsak elegáns, hanem ellenálló is, így ideális választás gyakori szállítás esetén. A kompakt méret és a kis helyigény ellenére az eszköz meglepően stabil, használatra kész kivitelben érkezik. A csomagban két darab állvány, egy hálózati kábel, valamint két Speakon csatlakozó kábel is megtalálható, így már az első használathoz is minden adott.
Miért válassza a SAL PAS12W243S oszlopsugárzó hangrendszert?
- 800 W professzionális teljesítmény, dinamikus hangkép
- 9 beépített hangszóróval a tiszta hangélményért
- Bluetooth TWS technológia – vezeték nélküli sztereó párosítás
- Színes kijelző, DSP hangprocesszor, intuitív menü
- Hordozható, masszív kialakítás – ideális élő produkciókhoz és rendezvényekhez
Emelje rendezvénye színvonalát új szintre a SAL PAS12W243S hangrendszerrel – kompromisszummentes hangzás, könnyű kezelhetőség és valódi teljesítmény, egyetlen megbízható rendszerben!</t>
        </is>
      </c>
    </row>
    <row r="1378">
      <c r="A1378" s="3" t="inlineStr">
        <is>
          <t>PAS12W243ST</t>
        </is>
      </c>
      <c r="B1378" s="2" t="inlineStr">
        <is>
          <t>SAL PAS12W243ST állvány a PAS12W243S professzionális sztereó hangrendszerhez, tartozék, önállóan nem vásárolható meg</t>
        </is>
      </c>
      <c r="C1378" s="1" t="n">
        <v>7190.0</v>
      </c>
      <c r="D1378" s="7" t="n">
        <f>HYPERLINK("https://www.somogyi.hu/product/sal-pas12w243st-allvany-a-pas12w243s-professzionalis-sztereo-hangrendszerhez-tartozek-onalloan-nem-vasarolhato-meg-pas12w243st-19115","https://www.somogyi.hu/product/sal-pas12w243st-allvany-a-pas12w243s-professzionalis-sztereo-hangrendszerhez-tartozek-onalloan-nem-vasarolhato-meg-pas12w243st-19115")</f>
        <v>0.0</v>
      </c>
      <c r="E1378" s="7" t="n">
        <f>HYPERLINK("https://www.somogyi.hu/data/img/product_main_images/small/19115.jpg","https://www.somogyi.hu/data/img/product_main_images/small/19115.jpg")</f>
        <v>0.0</v>
      </c>
      <c r="F1378" s="2" t="inlineStr">
        <is>
          <t>5999084971083</t>
        </is>
      </c>
      <c r="G1378" s="4" t="inlineStr">
        <is>
          <t>Milyen stabil tartást biztosíthat egy professzionális hangrendszerhez kifejlesztett, kifejezetten hozzá illeszkedő állvány?
 A SAL PAS12W243ST állvány a PAS12W243S sztereó professzionális hangrendszerhez készült, hogy maximális stabilitást, biztonságot és optimális hangterjedést biztosítson bármilyen környezetben. Ez a tartozék nemcsak a hangfal rögzítését könnyíti meg, de a sztereó hangélmény minőségét is jelentősen javítja.
Kifejezetten PAS12W243S hangrendszerhez tervezve
A SAL PAS12W243ST nem egy univerzális állvány – ez a modell precízen a PAS12W243S oszlopsugárzó hangfalhoz lett kialakítva, így biztosított a tökéletes illeszkedés, valamint a gyors és stabil felhelyezés. Az optimális magasság és szögbeállítás révén a hang egyenletesen oszlik el a térben, így a közönség minden tagja ugyanazt a kiváló minőségű megszólalást élvezheti. Ideális a hangrendszer sztereó módban történő alkalmazásakor.  
Tartós, megbízható kivitel
Az állvány strapabíró anyagból készült, így kiválóan ellenáll a gyakori szállításnak és intenzív használatnak. A stabil, háromlábú kialakítás megfelelő egyensúlyt és biztonságot nyújt, még egyenetlen felületen is. Ez különösen fontos színpadi vagy rendezvényi környezetben, ahol minden részlet számít.
Fontos tudnivaló
Az állvány önállóan NEM vásárolható meg, kizárólag a SAL PAS12W243S hangrendszer tartozékaként érhető el. Kiválasztásával a vásárló egy olyan komplett megoldást kap, amelyet a gyártó eredetileg is egymással összhangban tervezett.
Miért válassza a SAL PAS12W243ST állványt?
- Kifejezetten a PAS12W243S hangrendszerhez fejlesztve
- Masszív, megbízható konstrukció – hosszú élettartam
- Stabilitást és ideális hangterjedést biztosít
- Könnyen rögzíthető, egyszerűen használható
Egészítse ki SAL PAS12W243S hangrendszerét a gyári állvánnyal, és teremtsen professzionális megjelenést és tökéletes hangzást minden eseményen – biztonságosan, stabilan, kompromisszumok nélkül!</t>
        </is>
      </c>
    </row>
    <row r="1379">
      <c r="A1379" s="3" t="inlineStr">
        <is>
          <t>PAS8W42S</t>
        </is>
      </c>
      <c r="B1379" s="2" t="inlineStr">
        <is>
          <t>SAL PAS8W42S professzionális oszlopsugárzó hangrendszer, max. 600 W, 20cm mélysugárzó, 4x2” szélessávú szatellit hangszóró, aktív zenekari hangdoboz, Bluetooth, állvány</t>
        </is>
      </c>
      <c r="C1379" s="1" t="n">
        <v>140990.0</v>
      </c>
      <c r="D1379" s="7" t="n">
        <f>HYPERLINK("https://www.somogyi.hu/product/sal-pas8w42s-professzionalis-oszlopsugarzo-hangrendszer-max-600-w-20cm-melysugarzo-4x2-szelessavu-szatellit-hangszoro-aktiv-zenekari-hangdoboz-bluetooth-allvany-pas8w42s-18705","https://www.somogyi.hu/product/sal-pas8w42s-professzionalis-oszlopsugarzo-hangrendszer-max-600-w-20cm-melysugarzo-4x2-szelessavu-szatellit-hangszoro-aktiv-zenekari-hangdoboz-bluetooth-allvany-pas8w42s-18705")</f>
        <v>0.0</v>
      </c>
      <c r="E1379" s="7" t="n">
        <f>HYPERLINK("https://www.somogyi.hu/data/img/product_main_images/small/18705.jpg","https://www.somogyi.hu/data/img/product_main_images/small/18705.jpg")</f>
        <v>0.0</v>
      </c>
      <c r="F1379" s="2" t="inlineStr">
        <is>
          <t>5999084967239</t>
        </is>
      </c>
      <c r="G1379" s="4" t="inlineStr">
        <is>
          <t>Hogyan lehet professzionális hangzást elérni akár kisebb helyszíneken is kompromisszumok nélkül? 
A SAL PAS8W42S oszlopsugárzó hangrendszer tökéletes megoldás minden olyan eseményre, ahol lényeges a tiszta hangzás, a nagy teljesítmény és a könnyű szállíthatóság. Legyen szó élő zenéről, rendezvényekről, konferenciákról vagy DJ-fellépésekről, ez a kompakt, mégis erőteljes rendszer minden helyzetben megállja a helyét.
Kifinomult technológia, lenyűgöző hangélmény
Ez a 2-utas, aktív bass-reflex hangdoboz öt integrált hangszóróval dolgozik összehangoltan: négy 2”-os neodymium szélessávú hangszóró gondoskodik a tiszta közép- és magas hangokról, míg a 8”-os nagy hangtekerccsel szerelt mélysugárzó felel az ütős basszusért. A hangképet a beépített DSP hangprocesszor optimalizálja, négy választható üzemmóddal a különböző alkalmazási környezetekhez.
A 600 W csúcsteljesítményre képes erősítő – mely 200 W RMS teljesítményt biztosít – 50–19.000 Hz-es frekvenciatartományban dolgozik. A 121 dB maximális hangnyomás elegendő egy közepes méretű helyiség vagy kültéri rendezvény hangosítására is. A 120° x 20° irányítottságú hangkibocsátás széles szórást tesz lehetővé.
Teljes rugalmasság a csatlakozásokban
A PAS8W42S minden igényt kielégítő csatlakozási lehetőségeket kínál: – MIC1–2 és LINE1–2 (XLR / 6,3 mm Jack) bemenetek – 3,5 mm Jack, RCA sztereó és Bluetooth bemenetek – LINE XLR kimenet más hangrendszerekhez való csatlakozáshoz
A rendszer Bluetooth TWS funkcióval rendelkezik, így két azonos modell vezeték nélkül is összeköthető, valódi sztereó hangélményt teremtve. A túlvezérlést jelző LED figyelmeztet, ha a hangerőhatáron túlra kerülne a rendszer.
Praktikus felépítés, mobilitásra tervezve
A rendszer háromféle magasságban szerelhető össze az igényeknek megfelelően, a maximális összeállított magasság eléri az 186 cm-t. A szatellit hangszóró mindössze 1,4 kg, míg a subwoofer 13 kg, így a teljes rendszer könnyen mozgatható, gyorsan telepíthető.
A tartozék állványtoldók, a hálózati kábel és a masszív konstrukció biztosítják, hogy a rendszer a gyakorlatban is helytálljon – hosszú távon és intenzív használat mellett is.
Miért érdemes a SAL PAS8W42S hangrendszert választani?
- Letisztult dizájn, kis helyigény – mégis erőteljes megszólalás 
- 5 beépített hangsugárzó – dinamikus és kiegyensúlyozott hangzás 
- Bluetooth TWS funkció – vezeték nélküli sztereó lehetőség 
- DSP hangprocesszor – választható hangprofilokkal 
- Professzionális csatlakozási lehetőségek – sokoldalú használatra 
- Könnyű szállítás és gyors telepítés – ideális mobil hangtechnikai megoldás
Válassza a SAL PAS8W42S oszlopsugárzót, ha egy kompakt, de kompromisszummentes hangrendszert keres! Legyen a hangzás mindig professzionális – bárhol, bármikor!</t>
        </is>
      </c>
    </row>
    <row r="1380">
      <c r="A1380" s="6" t="inlineStr">
        <is>
          <t xml:space="preserve">   Hangtechnika / Mélysugárzó</t>
        </is>
      </c>
      <c r="B1380" s="6" t="inlineStr">
        <is>
          <t/>
        </is>
      </c>
      <c r="C1380" s="6" t="inlineStr">
        <is>
          <t/>
        </is>
      </c>
      <c r="D1380" s="6" t="inlineStr">
        <is>
          <t/>
        </is>
      </c>
      <c r="E1380" s="6" t="inlineStr">
        <is>
          <t/>
        </is>
      </c>
      <c r="F1380" s="6" t="inlineStr">
        <is>
          <t/>
        </is>
      </c>
      <c r="G1380" s="6" t="inlineStr">
        <is>
          <t/>
        </is>
      </c>
    </row>
    <row r="1381">
      <c r="A1381" s="3" t="inlineStr">
        <is>
          <t>SPA 3040</t>
        </is>
      </c>
      <c r="B1381" s="2" t="inlineStr">
        <is>
          <t>SAL SPA 3040 mélysugárzó, 210 W, alumínium csévetest, 2 rétegű hangtekercs, 40 Oz mágnes</t>
        </is>
      </c>
      <c r="C1381" s="1" t="n">
        <v>22590.0</v>
      </c>
      <c r="D1381" s="7" t="n">
        <f>HYPERLINK("https://www.somogyi.hu/product/sal-spa-3040-melysugarzo-210-w-aluminium-csevetest-2-retegu-hangtekercs-40-oz-magnes-spa-3040-4169","https://www.somogyi.hu/product/sal-spa-3040-melysugarzo-210-w-aluminium-csevetest-2-retegu-hangtekercs-40-oz-magnes-spa-3040-4169")</f>
        <v>0.0</v>
      </c>
      <c r="E1381" s="7" t="n">
        <f>HYPERLINK("https://www.somogyi.hu/data/img/product_main_images/small/04169.jpg","https://www.somogyi.hu/data/img/product_main_images/small/04169.jpg")</f>
        <v>0.0</v>
      </c>
      <c r="F1381" s="2" t="inlineStr">
        <is>
          <t>5998312736982</t>
        </is>
      </c>
      <c r="G1381" s="4" t="inlineStr">
        <is>
          <t>Olyan mélysugárzót keres, amely a precíz mélyhangzást és a tartós teljesítményt kínálja? A SAL SPA 3040 mélysugárzó a 210 W-os teljesítményével és a kifinomult tervezésével biztosítja a dinamikus hangélményt, akár professzionális, akár otthoni használatra. Ez a 300 mm-es átmérőjű mélysugárzó lenyűgöző basszusokat kínál, amely minden zenei műfajhoz kiválóan illeszkedik.
Kiemelkedő teljesítmény és precíz hangzás
A SAL SPA 3040 mélysugárzó 210 W zenei és 150 W névleges terhelhetőséggel rendelkezik, így nagyobb hangerő mellett is torzításmentes hangzást nyújt. A 40–3500 Hz közötti frekvenciatartomány ideális a mély és középfrekvenciák pontos megszólaltatására, míg a 90 dB-es érzékenység biztosítja a részletgazdag hangzást még alacsonyabb hangerő mellett is.
Prémium anyagok és tartós kialakítás
A PC alapanyagú kónusz és az alumínium csévetest kombinációja kiemelkedő megbízhatóságot és hosszú élettartamot garantál. A 1,5 colos, két rétegű hangtekercs kiváló hőelvezetést biztosít, amely növeli a teljesítménytartományt, így a mélysugárzó intenzív használat során is stabilan működik. A 40 Oz súlyú mágnes erőteljes basszust biztosít, amely bármelyik zeneszámot élettel tölti meg.
Széleskörű kompatibilitás és alkalmazhatóság
A 8 Ohm impedanciájú mélysugárzó könnyedén integrálható különféle hangrendszerekbe, legyen szó otthoni Hi-Fi rendszerekről vagy professzionális hangosítási feladatokról. A 300 mm-es átmérővel rendelkező hangszóró ideális választás nagyobb helyiségek hangosítására, miközben precíz hangzást nyújt minden frekvencián.
Válassza a SAL SPA 3040 mélysugárzót, és hozza el az igazi mélyhang-élményt – töltse meg terét erőteljes, dinamikus basszusokkal!</t>
        </is>
      </c>
    </row>
    <row r="1382">
      <c r="A1382" s="3" t="inlineStr">
        <is>
          <t>SPA 2030</t>
        </is>
      </c>
      <c r="B1382" s="2" t="inlineStr">
        <is>
          <t>SAL SPA 2030 mélysugárzó, 150 W, alumínium csévetest, 2 rétegű hangtekercs, 30 Oz mágnes</t>
        </is>
      </c>
      <c r="C1382" s="1" t="n">
        <v>13390.0</v>
      </c>
      <c r="D1382" s="7" t="n">
        <f>HYPERLINK("https://www.somogyi.hu/product/sal-spa-2030-melysugarzo-150-w-aluminium-csevetest-2-retegu-hangtekercs-30-oz-magnes-spa-2030-4167","https://www.somogyi.hu/product/sal-spa-2030-melysugarzo-150-w-aluminium-csevetest-2-retegu-hangtekercs-30-oz-magnes-spa-2030-4167")</f>
        <v>0.0</v>
      </c>
      <c r="E1382" s="7" t="n">
        <f>HYPERLINK("https://www.somogyi.hu/data/img/product_main_images/small/04167.jpg","https://www.somogyi.hu/data/img/product_main_images/small/04167.jpg")</f>
        <v>0.0</v>
      </c>
      <c r="F1382" s="2" t="inlineStr">
        <is>
          <t>5998312736968</t>
        </is>
      </c>
      <c r="G1382" s="4" t="inlineStr">
        <is>
          <t>Olyan mélysugárzót keres, amely képes kompromisszumok nélkül közvetíteni a basszusok erejét? A SAL SPA 2030 mélysugárzó 150 W-os zenei teljesítményével és kifinomult tervezésével garantálja a részletgazdag mélyhangzást, legyen szó otthoni hangrendszerről vagy professzionális használatról. Kompakt mérete ellenére erőteljes basszust biztosít, amely bármelyik zenei műfajban kiemelkedő élményt nyújt.
Erőteljes teljesítmény és széles frekvenciatartomány
Ez a 200 mm-es átmérőjű mélysugárzó 150 W-os zenei és 100 W-os névleges terhelhetőséggel rendelkezik, így akár magas hangerő mellett is torzításmentesen szólal meg. A 50–5000 Hz közötti frekvenciatartomány lehetővé teszi a mély és középfrekvenciák tiszta megszólaltatását, miközben az 89 dB-es érzékenység gondoskodik arról, hogy minden részletet halljon, még alacsony teljesítmény mellett is.
Minőségi anyaghasználat a tartósság érdekében
Az alumínium csévetest nemcsak erős, hanem kiváló hőelvezetést is biztosít, így a mélysugárzó intenzív használat esetén is megbízhatóan teljesít. A PC alapanyagú kónusz ellenálló és könnyű, amely minimalizálja a torzítást, miközben erőteljes és precíz basszust kínál. A 30 Oz-os mágnes további stabilitást és erőt ad a hangzásnak, így még gazdagabb hangélményt biztosít.
Sokoldalú alkalmazási lehetőségek
A 8 Ohm impedancia lehetővé teszi a mélysugárzó egyszerű integrálását különféle hangrendszerekbe, legyen szó otthoni Hi-Fi rendszerről, moziszerű hangzásról vagy rendezvények hangosításáról. A 200 mm-es kompakt méret ideális választás kisebb és közepes helyiségek számára, miközben pontos és kiegyensúlyozott hangzást biztosít.
Fedezze fel a SAL SPA 2030 mélysugárzó nyújtotta lenyűgöző hangzásvilágot, és hozza ki a legtöbbet hangrendszeréből – töltse meg a teret dinamikus és mély basszusokkal!</t>
        </is>
      </c>
    </row>
    <row r="1383">
      <c r="A1383" s="3" t="inlineStr">
        <is>
          <t>SPA 4050</t>
        </is>
      </c>
      <c r="B1383" s="2" t="inlineStr">
        <is>
          <t>SAL SPA 4050 mélysugárzó, 230 W, alumínium csévetest, 2 rétegű hangtekercs, 50 Oz mágnes</t>
        </is>
      </c>
      <c r="C1383" s="1" t="n">
        <v>36190.0</v>
      </c>
      <c r="D1383" s="7" t="n">
        <f>HYPERLINK("https://www.somogyi.hu/product/sal-spa-4050-melysugarzo-230-w-aluminium-csevetest-2-retegu-hangtekercs-50-oz-magnes-spa-4050-4170","https://www.somogyi.hu/product/sal-spa-4050-melysugarzo-230-w-aluminium-csevetest-2-retegu-hangtekercs-50-oz-magnes-spa-4050-4170")</f>
        <v>0.0</v>
      </c>
      <c r="E1383" s="7" t="n">
        <f>HYPERLINK("https://www.somogyi.hu/data/img/product_main_images/small/04170.jpg","https://www.somogyi.hu/data/img/product_main_images/small/04170.jpg")</f>
        <v>0.0</v>
      </c>
      <c r="F1383" s="2" t="inlineStr">
        <is>
          <t>5998312736999</t>
        </is>
      </c>
      <c r="G1383" s="4" t="inlineStr">
        <is>
          <t>Olyan mélysugárzót keres, amely garantáltan átütő basszust biztosít minden zenei stílusban? A SAL SPA 4050 mélysugárzó lenyűgöző, 230 wattos teljesítményével és prémium anyaghasználatával tökéletes választás professzionális és otthoni hangrendszerekhez egyaránt. Ez a 400 mm-es átmérőjű mélysugárzó erőteljes hangzást kínál, amely bármilyen környezetet megtölt dinamikus, részletgazdag mélyhangokkal.
Kiemelkedő teljesítmény és hangminőség
A SAL SPA 4050 230 W zenei, illetve 160 W névleges terhelhetősége lehetővé teszi, hogy maximális hangerő mellett is tiszta és torzításmentes hangot nyújtson. A 30 – 3000 Hz közötti frekvenciatartomány széles spektrumot fed le, amely biztosítja, hogy a mély és középfrekvenciák egyaránt részletgazdagok és életteliek legyenek. A 93 dB-es érzékenység garantálja a magas hanghatékonyságot, még alacsonyabb teljesítmény mellett is.
Prémium anyaghasználat és megbízhatóság
A 2 colos, két rétegű hangtekercs és az alumínium csévetest kiváló hőelvezetést biztosít, így a mélysugárzó hosszabb ideig is stabilan működik intenzív használat mellett. A PC alapanyagú kónusz tartós és rezgésmentes hangzást biztosít, amely a precizitás és a megbízhatóság jegyében készült. A 50 Oz-os mágneses szerkezet gondoskodik az erőteljes basszusról és a megbízható teljesítményről.
Sokoldalú felhasználás és kompatibilitás
A 8 Ohm impedancia lehetővé teszi, hogy a SAL SPA 4050 mélysugárzó könnyedén illeszkedjen a különféle hangrendszerekhez, legyen szó professzionális PA-rendszerekről vagy otthoni zenei élményekről. A 400 mm-es átmérő ideális választás nagyobb terek hangosításához, miközben precíz mélyhangokat biztosít.
Válassza a SAL SPA 4050 mélysugárzót, és hozza el a dinamikus és precíz basszusokat otthonába vagy rendezvényére – emelje zenei élményeit új szintre!</t>
        </is>
      </c>
    </row>
    <row r="1384">
      <c r="A1384" s="3" t="inlineStr">
        <is>
          <t>SPA 2530</t>
        </is>
      </c>
      <c r="B1384" s="2" t="inlineStr">
        <is>
          <t>SAL SPA 2530 mélysugárzó, 200 W, alumínium csévetest, 2 rétegű hangtekercs, 30 Oz mágnes</t>
        </is>
      </c>
      <c r="C1384" s="1" t="n">
        <v>14690.0</v>
      </c>
      <c r="D1384" s="7" t="n">
        <f>HYPERLINK("https://www.somogyi.hu/product/sal-spa-2530-melysugarzo-200-w-aluminium-csevetest-2-retegu-hangtekercs-30-oz-magnes-spa-2530-4168","https://www.somogyi.hu/product/sal-spa-2530-melysugarzo-200-w-aluminium-csevetest-2-retegu-hangtekercs-30-oz-magnes-spa-2530-4168")</f>
        <v>0.0</v>
      </c>
      <c r="E1384" s="7" t="n">
        <f>HYPERLINK("https://www.somogyi.hu/data/img/product_main_images/small/04168.jpg","https://www.somogyi.hu/data/img/product_main_images/small/04168.jpg")</f>
        <v>0.0</v>
      </c>
      <c r="F1384" s="2" t="inlineStr">
        <is>
          <t>5998312736975</t>
        </is>
      </c>
      <c r="G1384" s="4" t="inlineStr">
        <is>
          <t>Egy mélysugárzó, amely precíz basszust és kiemelkedő teljesítményt kínál? A SAL SPA 2530 mélysugárzó 200 W-os zenei teljesítményével és 250 mm-es átmérőjével garantáltan kielégíti a dinamikus és részletgazdag hangzás iránti igényeket. Legyen szó otthoni Hi-Fi rendszerekről vagy professzionális hangosításról, ez a mélysugárzó kiváló választás.
Erőteljes teljesítmény és széles frekvenciatartomány
A 200 W-os zenei és 140 W névleges terhelhetőség lehetővé teszi, hogy a SAL SPA 2530 torzításmentesen és megbízhatóan szólaljon meg magasabb hangerő mellett is. A 45–5000 Hz közötti frekvenciatartomány gondoskodik arról, hogy a mély és középfrekvenciák egyaránt gazdagok és tiszták legyenek, míg a 90 dB-es érzékenység garantálja a kiváló hatékonyságot.
Prémium anyagok és tartós kialakítás
Az alumínium csévetest erős és hőálló szerkezetet biztosít, így az intenzív használat során is megbízhatóan működik. A PC alapanyagú kónusz tartós, mégis könnyű, ami minimalizálja a torzítást, miközben erőteljes basszust eredményez. A 30 Oz-os mágnes erőteljes teljesítményt nyújt, amely minden zeneszámot élénk és dinamikus basszussal tölt meg.
Sokoldalú alkalmazhatóság és könnyű integráció
A 8 Ohm impedancia lehetővé teszi a mélysugárzó egyszerű integrálását különféle hangrendszerekbe, legyen szó otthoni zenehallgatásról, moziélményről vagy professzionális rendezvényekről. A 250 mm-es átmérő ideális választás közepes és nagyobb terek hangosítására, miközben garantálja a részletgazdag hangzást.
Válassza a SAL SPA 2530 mélysugárzót, hogy zenei élményeit új szintre emelje – hozza ki a legtöbbet hangrendszeréből, és töltse meg a teret lenyűgöző basszusokkal!</t>
        </is>
      </c>
    </row>
    <row r="1385">
      <c r="A1385" s="6" t="inlineStr">
        <is>
          <t xml:space="preserve">   Hangtechnika / Magassugárzó</t>
        </is>
      </c>
      <c r="B1385" s="6" t="inlineStr">
        <is>
          <t/>
        </is>
      </c>
      <c r="C1385" s="6" t="inlineStr">
        <is>
          <t/>
        </is>
      </c>
      <c r="D1385" s="6" t="inlineStr">
        <is>
          <t/>
        </is>
      </c>
      <c r="E1385" s="6" t="inlineStr">
        <is>
          <t/>
        </is>
      </c>
      <c r="F1385" s="6" t="inlineStr">
        <is>
          <t/>
        </is>
      </c>
      <c r="G1385" s="6" t="inlineStr">
        <is>
          <t/>
        </is>
      </c>
    </row>
    <row r="1386">
      <c r="A1386" s="3" t="inlineStr">
        <is>
          <t>KHS 120</t>
        </is>
      </c>
      <c r="B1386" s="2" t="inlineStr">
        <is>
          <t>SAL KHS 120 piezo magassugárzó, 4 Ohm/ 300 W, 8 Ohm/ 150 W, 263 x 100 mm</t>
        </is>
      </c>
      <c r="C1386" s="1" t="n">
        <v>4290.0</v>
      </c>
      <c r="D1386" s="7" t="n">
        <f>HYPERLINK("https://www.somogyi.hu/product/sal-khs-120-piezo-magassugarzo-4-ohm-300-w-8-ohm-150-w-263-x-100-mm-khs-120-2078","https://www.somogyi.hu/product/sal-khs-120-piezo-magassugarzo-4-ohm-300-w-8-ohm-150-w-263-x-100-mm-khs-120-2078")</f>
        <v>0.0</v>
      </c>
      <c r="E1386" s="7" t="n">
        <f>HYPERLINK("https://www.somogyi.hu/data/img/product_main_images/small/02078.jpg","https://www.somogyi.hu/data/img/product_main_images/small/02078.jpg")</f>
        <v>0.0</v>
      </c>
      <c r="F1386" s="2" t="inlineStr">
        <is>
          <t>5998312723128</t>
        </is>
      </c>
      <c r="G1386" s="4" t="inlineStr">
        <is>
          <t>Hogyan biztosíthatja, hogy hangrendszere kristálytiszta magas hangokat nyújtson bármilyen környezetben? A SAL KHS 120 piezo magassugárzó ideális választás mind otthoni, mind professzionális alkalmazásokhoz, köszönhetően kiemelkedő teljesítményének, széles frekvenciatartományának és tartós kialakításának. Ez a megbízható eszköz garantáltan gazdagítja bármely hangrendszert.
Erőteljes teljesítmény és tiszta hangzás
A SAL KHS 120 piezo magassugárzó akár 300 W teljesítményt kínál 4 Ohm impedancián, míg 8 Ohmon 150 W-ra képes. A 2.000–20.000 Hz közötti frekvenciatartomány biztosítja, hogy a hangok minden részlete precízen és tisztán szólaljon meg. A 92 dB-es érzékenység lehetővé teszi a részletgazdag hangzást, még alacsonyabb teljesítmény mellett is, így ideális bármilyen zenei műfajhoz vagy alkalmazáshoz.
Tartós kialakítás a hosszú távú megbízhatóságért
A piezo technológia garantálja a hosszú élettartamot és az alacsony torzítást, miközben a 35 V-os maximális feszültségtűrés stabil teljesítményt biztosít még intenzív használat során is. A magassugárzó 263 x 100 mm-es mérete kényelmes telepítést és rugalmas alkalmazhatóságot tesz lehetővé.
Széleskörű kompatibilitás és sokoldalú alkalmazhatóság
A több mint 1000 Ω-os impedancia biztosítja, hogy a SAL KHS 120 könnyedén illeszkedjen különböző hangrendszerekhez, legyen szó otthoni zenehallgatásról, rendezvények hangosításáról vagy stúdiómunkáról. A nagy teljesítményű kivitel lehetővé teszi, hogy a magassugárzó minden környezetben helytálljon, miközben minimalizálja az energiafogyasztást.
Tegye teljessé hangrendszerét a SAL KHS 120 piezo magassugárzóval, és élvezze a tiszta, precíz magas hangok által nyújtott páratlan hangélményt!</t>
        </is>
      </c>
    </row>
    <row r="1387">
      <c r="A1387" s="3" t="inlineStr">
        <is>
          <t>KHS 106</t>
        </is>
      </c>
      <c r="B1387" s="2" t="inlineStr">
        <is>
          <t>SAL KHS 106 piezo magassugárzó, 4 Ohm/ 300 W, 8 Ohm/ 150 W, 95 mm átmérő</t>
        </is>
      </c>
      <c r="C1387" s="1" t="n">
        <v>1490.0</v>
      </c>
      <c r="D1387" s="7" t="n">
        <f>HYPERLINK("https://www.somogyi.hu/product/sal-khs-106-piezo-magassugarzo-4-ohm-300-w-8-ohm-150-w-95-mm-atmero-khs-106-2363","https://www.somogyi.hu/product/sal-khs-106-piezo-magassugarzo-4-ohm-300-w-8-ohm-150-w-95-mm-atmero-khs-106-2363")</f>
        <v>0.0</v>
      </c>
      <c r="E1387" s="7" t="n">
        <f>HYPERLINK("https://www.somogyi.hu/data/img/product_main_images/small/02363.jpg","https://www.somogyi.hu/data/img/product_main_images/small/02363.jpg")</f>
        <v>0.0</v>
      </c>
      <c r="F1387" s="2" t="inlineStr">
        <is>
          <t>5998312726693</t>
        </is>
      </c>
      <c r="G1387" s="4" t="inlineStr">
        <is>
          <t>Szüksége van egy magassugárzóra, amely tiszta és részletgazdag magas hangokat biztosít bármilyen hangrendszerben? A SAL KHS 106 piezo magassugárzó kiemelkedő teljesítményével és kompakt kialakításával tökéletes választás mind otthoni, mind professzionális alkalmazásokhoz. A 95 mm-es átmérő és a piezo technológia garantálja a megbízható működést és a tiszta hangzást.
Erőteljes teljesítmény és széles frekvenciatartomány
Ez a magassugárzó 4 Ohm impedancia mellett akár 300 W maximális teljesítményt, 8 Ohmon pedig 150 W-ot kínál, így kiválóan alkalmas különféle hangrendszerekhez. A 2.000–20.000 Hz közötti frekvenciatartomány biztosítja, hogy a magas hangok minden árnyalata tisztán és részletgazdagon szólaljon meg. A 90 dB-es érzékenység lehetővé teszi a hatékony hangátvitelt, még alacsonyabb teljesítmény mellett is.
Tartós kialakítás és megbízható működés
A SAL KHS 106 piezo technológiát használ, amely a hosszú élettartamot és az alacsony torzítást garantálja. A 35 V-os maximális feszültségtűrés további stabilitást biztosít, így ez a magassugárzó megbízhatóan teljesít intenzív használat esetén is. A kompakt, 95 mm-es átmérő praktikus és egyszerű telepítést tesz lehetővé.
Sokoldalú alkalmazási lehetőségek
A több mint 1000 Ω-os impedancia révén a SAL KHS 106 magassugárzó kompatibilis számos különböző hangrendszerrel, legyen szó rendezvények hangosításáról, stúdiómunkáról vagy otthoni használatról. Kialakítása lehetővé teszi, hogy bármilyen környezetben kiváló hangzást nyújtson, miközben helytakarékos megoldást kínál.
Fedezze fel a SAL KHS 106 piezo magassugárzó nyújtotta tiszta és dinamikus magas hangokat – tökéletes választás a lenyűgöző hangélményért minden alkalommal!</t>
        </is>
      </c>
    </row>
    <row r="1388">
      <c r="A1388" s="3" t="inlineStr">
        <is>
          <t>DP 11</t>
        </is>
      </c>
      <c r="B1388" s="2" t="inlineStr">
        <is>
          <t>SAL DP 11 zenekari magassugárzó, 120 W, 8 Ohm, textilbakelit membrán, 10 Oz mágnes, hangváltó szükséges</t>
        </is>
      </c>
      <c r="C1388" s="1" t="n">
        <v>6590.0</v>
      </c>
      <c r="D1388" s="7" t="n">
        <f>HYPERLINK("https://www.somogyi.hu/product/sal-dp-11-zenekari-magassugarzo-120-w-8-ohm-textilbakelit-membran-10-oz-magnes-hangvalto-szukseges-dp-11-17786","https://www.somogyi.hu/product/sal-dp-11-zenekari-magassugarzo-120-w-8-ohm-textilbakelit-membran-10-oz-magnes-hangvalto-szukseges-dp-11-17786")</f>
        <v>0.0</v>
      </c>
      <c r="E1388" s="7" t="n">
        <f>HYPERLINK("https://www.somogyi.hu/data/img/product_main_images/small/17786.jpg","https://www.somogyi.hu/data/img/product_main_images/small/17786.jpg")</f>
        <v>0.0</v>
      </c>
      <c r="F1388" s="2" t="inlineStr">
        <is>
          <t>5999084958084</t>
        </is>
      </c>
      <c r="G1388" s="4" t="inlineStr">
        <is>
          <t>Hogyan érheti el, hogy zenekari hangrendszere a legkifinomultabb magas hangokat közvetítse? A SAL DP 11 zenekari magassugárzó 120 W-os maximális teljesítményével és textilbakelit membránjával ideális választás professzionális zenei alkalmazásokhoz. Kialakítása és megbízhatósága garantálja, hogy a hangzás kristálytiszta és részletgazdag legyen, minden körülmények között.
Kiemelkedő teljesítmény és pontos hangzás
A SAL DP 11 magassugárzó 120 W zenei és 60 W névleges terhelhetőséggel rendelkezik, 8 Ohm impedanciával, amely lehetővé teszi a széleskörű felhasználást. A 2.000–18.000 Hz közötti frekvenciatartomány gondoskodik arról, hogy a magas hangok minden apró részlete precízen szólaljon meg, legyen szó zenekari alkalmazásról vagy stúdiófelvételekről. A 93 dB-es érzékenység garantálja a hatékony és dinamikus hangzást, még alacsonyabb teljesítmény mellett is.
Prémium anyaghasználat a kiváló hangzásért
A textilbakelit membrán nemcsak tartós, hanem rendkívül könnyű is, amely lehetővé teszi a gyors és precíz rezgéseket, minimalizálva a torzítást. Az 1 colos hangtekercs stabilitást és megbízhatóságot biztosít, miközben a 10 Oz-os mágnes nagy teljesítményt és erőt kínál a lenyűgöző hangzás érdekében.
Funkcionalitás és kompatibilitás
A SAL DP 11 magassugárzó használatához hangváltó szükséges, amely biztosítja a rendszer optimális működését és a zökkenőmentes integrációt más hangszórókkal. Kompakt, 86 x 86 mm-es mérete könnyű telepítést tesz lehetővé, így egyszerűen illeszthető különféle hangrendszerekbe.
Fedezze fel a SAL DP 11 zenekari magassugárzóval a tiszta, dinamikus magas hangok világát, és emelje zenei produkcióit új szintre – válassza a megbízhatóságot és a precizitást!</t>
        </is>
      </c>
    </row>
    <row r="1389">
      <c r="A1389" s="3" t="inlineStr">
        <is>
          <t>KHS 105A</t>
        </is>
      </c>
      <c r="B1389" s="2" t="inlineStr">
        <is>
          <t>SAL KHS 105A piezo magassugárzó, 4 Ohm/ 300 W, 8 Ohm/ 150 W, 85 x 85 mm</t>
        </is>
      </c>
      <c r="C1389" s="1" t="n">
        <v>1190.0</v>
      </c>
      <c r="D1389" s="7" t="n">
        <f>HYPERLINK("https://www.somogyi.hu/product/sal-khs-105a-piezo-magassugarzo-4-ohm-300-w-8-ohm-150-w-85-x-85-mm-khs-105a-1797","https://www.somogyi.hu/product/sal-khs-105a-piezo-magassugarzo-4-ohm-300-w-8-ohm-150-w-85-x-85-mm-khs-105a-1797")</f>
        <v>0.0</v>
      </c>
      <c r="E1389" s="7" t="n">
        <f>HYPERLINK("https://www.somogyi.hu/data/img/product_main_images/small/01797.jpg","https://www.somogyi.hu/data/img/product_main_images/small/01797.jpg")</f>
        <v>0.0</v>
      </c>
      <c r="F1389" s="2" t="inlineStr">
        <is>
          <t>5998312702833</t>
        </is>
      </c>
      <c r="G1389" s="4" t="inlineStr">
        <is>
          <t>Egy magassugárzót keres, amely precíziós hangzást és megbízható teljesítményt nyújt bármely rendszerben? A SAL KHS 105A piezo magassugárzó kiemelkedő teljesítményével és kompakt kialakításával tökéletes választás mind otthoni, mind professzionális hangrendszerekhez. Az innovatív piezo technológia és a kompakt, 85 x 85 mm-es méret garantálja a könnyű telepítést és a megbízható működést.
Kiváló teljesítmény és széles frekvenciatartomány
A SAL KHS 105A magassugárzó akár 300 W teljesítményt kínál 4 Ohm, illetve 150 W-ot 8 Ohm impedancia mellett. A 2.000–20.000 Hz közötti frekvenciatartomány biztosítja, hogy a magas hangok tiszták, részletgazdagok és természetesek legyenek. A 94 dB-es érzékenység garantálja, hogy a hangzás még alacsony teljesítmény mellett is lenyűgöző maradjon.
Tartós kialakítás és megbízható működés
A piezo technológia lehetővé teszi a hosszú távú megbízható működést, miközben minimális torzítást biztosít. A magassugárzó 35 V-os maximális feszültségtűréssel rendelkezik, így még intenzív használat során is stabilan teljesít. Kompakt, 85 x 85 mm-es mérete egyszerű telepítést és helytakarékos megoldást kínál.
Sokoldalú alkalmazás és széleskörű kompatibilitás
A több mint 1000 Ω-os impedancia révén a SAL KHS 105A könnyedén integrálható különféle hangrendszerekbe. Ideális választás rendezvények hangosítására, stúdiókba vagy otthoni zenei alkalmazásokhoz, ahol a részletgazdag magas hangok kiemelkedő szerepet kapnak.
Fedezze fel a SAL KHS 105A piezo magassugárzóval a dinamikus és tiszta magas hangokat – emelje új szintre hangrendszerét ezzel a kompakt és erőteljes megoldással!</t>
        </is>
      </c>
    </row>
    <row r="1390">
      <c r="A1390" s="3" t="inlineStr">
        <is>
          <t>KHS 107</t>
        </is>
      </c>
      <c r="B1390" s="2" t="inlineStr">
        <is>
          <t>SAL KHS 107 piezo magassugárzó, 4 Ohm/ 300 W, 8 Ohm/ 150 W, 64 x 64 mm</t>
        </is>
      </c>
      <c r="C1390" s="1" t="n">
        <v>1850.0</v>
      </c>
      <c r="D1390" s="7" t="n">
        <f>HYPERLINK("https://www.somogyi.hu/product/sal-khs-107-piezo-magassugarzo-4-ohm-300-w-8-ohm-150-w-64-x-64-mm-khs-107-2526","https://www.somogyi.hu/product/sal-khs-107-piezo-magassugarzo-4-ohm-300-w-8-ohm-150-w-64-x-64-mm-khs-107-2526")</f>
        <v>0.0</v>
      </c>
      <c r="E1390" s="7" t="n">
        <f>HYPERLINK("https://www.somogyi.hu/data/img/product_main_images/small/02526.jpg","https://www.somogyi.hu/data/img/product_main_images/small/02526.jpg")</f>
        <v>0.0</v>
      </c>
      <c r="F1390" s="2" t="inlineStr">
        <is>
          <t>5998312728383</t>
        </is>
      </c>
      <c r="G1390" s="4" t="inlineStr">
        <is>
          <t>Olyan magassugárzót keres, amely tiszta és erőteljes magas hangokat biztosít kompakt kivitelben? A SAL KHS 107 piezo magassugárzó 300 W-os teljesítményével és 64 x 64 mm-es kompakt méretével ideális választás, ha professzionális vagy otthoni hangrendszerekhez keres megbízható megoldást. A piezo technológia precizitást és tartósságot biztosít minden használati környezetben.
Lenyűgöző teljesítmény és részletgazdag hangzás
Ez a magassugárzó 4 Ohm impedancia mellett akár 300 W, míg 8 Ohmon 150 W maximális teljesítményt kínál. A 5.000–20.000 Hz közötti frekvenciatartománya biztosítja, hogy a magas hangok minden árnyalata tisztán és dinamikusan szólaljon meg, miközben a 104 dB-es érzékenység kiemelkedő hatékonyságot garantál. Ez a paraméter különösen alkalmassá teszi a SAL KHS 107-et nagy hangerő melletti használatra.
Tartós és megbízható kialakítás
A piezo technológiának köszönhetően a magassugárzó hosszú élettartamot és minimális torzítást kínál, míg a 35 V-os maximális feszültségtűrés stabil működést biztosít intenzív használat esetén is. A rendkívül kompakt, mindössze 64 x 64 mm-es méret egyszerű telepítést tesz lehetővé, különösen kisebb hangrendszerekbe.
Széleskörű alkalmazási lehetőségek
A több mint 1000 Ω-os impedancia biztosítja, hogy a SAL KHS 107 magassugárzó kompatibilis legyen különféle hangrendszerekkel, legyen szó rendezvények hangosításáról, stúdiómunkáról vagy otthoni alkalmazásról. Kis mérete ellenére kiemelkedő teljesítményt nyújt, amely bármilyen rendszerben megállja a helyét.
Válassza a SAL KHS 107 piezo magassugárzót, és élvezze a részletgazdag és precíz magas hangokat – tökéletes kiegészítő minden hangrendszerhez, ahol a minőség az elsődleges szempont!</t>
        </is>
      </c>
    </row>
    <row r="1391">
      <c r="A1391" s="3" t="inlineStr">
        <is>
          <t>DPH 1417</t>
        </is>
      </c>
      <c r="B1391" s="2" t="inlineStr">
        <is>
          <t>SAL DPH 1417 zenekari magassugárzó, 150 W,  8 Ohm, textilbakelit membrán, 20 Oz mágnes, hangváltó szükséges</t>
        </is>
      </c>
      <c r="C1391" s="1" t="n">
        <v>16590.0</v>
      </c>
      <c r="D1391" s="7" t="n">
        <f>HYPERLINK("https://www.somogyi.hu/product/sal-dph-1417-zenekari-magassugarzo-150-w-8-ohm-textilbakelit-membran-20-oz-magnes-hangvalto-szukseges-dph-1417-17788","https://www.somogyi.hu/product/sal-dph-1417-zenekari-magassugarzo-150-w-8-ohm-textilbakelit-membran-20-oz-magnes-hangvalto-szukseges-dph-1417-17788")</f>
        <v>0.0</v>
      </c>
      <c r="E1391" s="7" t="n">
        <f>HYPERLINK("https://www.somogyi.hu/data/img/product_main_images/small/17788.jpg","https://www.somogyi.hu/data/img/product_main_images/small/17788.jpg")</f>
        <v>0.0</v>
      </c>
      <c r="F1391" s="2" t="inlineStr">
        <is>
          <t>5999084958107</t>
        </is>
      </c>
      <c r="G1391" s="4" t="inlineStr">
        <is>
          <t>Hogyan érheti el, hogy zenekari hangrendszere kiemelkedően tiszta és részletgazdag magas hangokat közvetítsen? A SAL DPH 1417 zenekari magassugárzó 150 W-os teljesítményével és prémium minőségű textilbakelit membránjával ideális választás professzionális felhasználásra. Ez a megbízható eszköz garantáltan gazdagítja hangrendszerét, lenyűgöző tisztaságot és dinamikát biztosítva.
Erőteljes teljesítmény és lenyűgöző hangzás
A SAL DPH 1417 magassugárzó akár 150 W zenei teljesítményt és 80 W névleges terhelhetőséget kínál 8 Ohm impedancia mellett. A 2.000–18.000 Hz közötti frekvenciatartomány tökéletesen lefedi a magas hangok spektrumát, biztosítva a tiszta és életteli hangzást. A 96 dB-es érzékenység garantálja, hogy már alacsonyabb teljesítmény mellett is lenyűgöző részletek szólaljanak meg.
Prémium anyaghasználat a tartós teljesítményért
A textilbakelit membrán tartósságot és precíziós hangátvitelt biztosít, amely különösen fontos zenekari alkalmazásoknál. Az 1,5 colos hangtekercs kiemelkedő stabilitást és megbízhatóságot nyújt, míg a 20 Oz-os mágnes erőteljes teljesítményt garantál, amely kivételes dinamikát ad a magas hangoknak. A 160 x 142 mm-es méret lehetővé teszi az egyszerű telepítést és a zökkenőmentes integrációt.
Funkcionalitás és kompatibilitás
A SAL DPH 1417 magassugárzó használatához hangváltó szükséges, amely biztosítja az optimális működést és a rendszer teljesítményének maximalizálását. Ez a magassugárzó professzionális zenekari alkalmazásokhoz készült, így tökéletes választás színpadi produkciókhoz, stúdiókhoz vagy más nagy teljesítményű hangrendszerekhez.
Emelje zenekari hangrendszerét új szintre a SAL DPH 1417 magassugárzóval – tapasztalja meg a dinamikus, kristálytiszta magas hangokat, amelyek minden környezetben lenyűgöző hangélményt nyújtanak!</t>
        </is>
      </c>
    </row>
    <row r="1392">
      <c r="A1392" s="3" t="inlineStr">
        <is>
          <t>KHS 311M</t>
        </is>
      </c>
      <c r="B1392" s="2" t="inlineStr">
        <is>
          <t>SAL KHS 311M piezo magassugárzó, 4 Ohm/ 300 W, 8 Ohm/ 150 W, 110 x 110 mm</t>
        </is>
      </c>
      <c r="C1392" s="1" t="n">
        <v>2390.0</v>
      </c>
      <c r="D1392" s="7" t="n">
        <f>HYPERLINK("https://www.somogyi.hu/product/sal-khs-311m-piezo-magassugarzo-4-ohm-300-w-8-ohm-150-w-110-x-110-mm-khs-311m-2677","https://www.somogyi.hu/product/sal-khs-311m-piezo-magassugarzo-4-ohm-300-w-8-ohm-150-w-110-x-110-mm-khs-311m-2677")</f>
        <v>0.0</v>
      </c>
      <c r="E1392" s="7" t="n">
        <f>HYPERLINK("https://www.somogyi.hu/data/img/product_main_images/small/02677.jpg","https://www.somogyi.hu/data/img/product_main_images/small/02677.jpg")</f>
        <v>0.0</v>
      </c>
      <c r="F1392" s="2" t="inlineStr">
        <is>
          <t>5998312730010</t>
        </is>
      </c>
      <c r="G1392" s="4" t="inlineStr">
        <is>
          <t>Keres egy magassugárzót, amely lenyűgözően tiszta és részletgazdag magas hangokat biztosít? A SAL KHS 311M piezo magassugárzó kimagasló teljesítményével és széles frekvenciatartományával tökéletes választás bármilyen hangrendszerhez, legyen az professzionális vagy otthoni alkalmazás. Kompakt mérete és kiemelkedő specifikációi révén ideális kiegészítője lehet bármilyen audiorendszernek.
Teljesítmény és frekvenciatartomány
Ez a magassugárzó 4 Ohm impedancia mellett akár 300 W maximális teljesítményt, míg 8 Ohmon 150 W-ot nyújt. A 2.000–20.000 Hz közötti frekvenciatartomány garantálja a tiszta, részletgazdag és precíz hangzást, amely minden zenei műfajban megállja a helyét. A 93 dB-es érzékenység gondoskodik arról, hogy a hangok már alacsonyabb teljesítmény mellett is kiváló minőségben szólaljanak meg.
Kiváló anyaghasználat és tartós kialakítás
A SAL KHS 311M piezo technológiát alkalmaz, amely hosszú távú megbízhatóságot és alacsony torzítást biztosít. A 35 V-os maximális feszültségtűrés és a 110 x 110 mm-es kompakt méret lehetővé teszi, hogy az eszközt egyszerűen integrálhassa különféle hangrendszerekbe, miközben stabil és megbízható teljesítményt nyújt.
Széleskörű kompatibilitás és alkalmazhatóság
A piezo magassugárzó több mint 1000 Ω-os impedanciája révén könnyedén illeszkedik különböző rendszerekhez, legyen szó rendezvények hangosításáról, stúdiómunkáról vagy otthoni zenehallgatásról. Kompakt mérete egyszerű telepítést és helytakarékos használatot tesz lehetővé.
Fedezze fel a SAL KHS 311M piezo magassugárzót, és tapasztalja meg a tiszta, dinamikus magas hangok által nyújtott hangélményt – tökéletes választás a minőségi zenei élményért!</t>
        </is>
      </c>
    </row>
    <row r="1393">
      <c r="A1393" s="3" t="inlineStr">
        <is>
          <t>KHS 110</t>
        </is>
      </c>
      <c r="B1393" s="2" t="inlineStr">
        <is>
          <t>SAL KHS 110 piezo magassugárzó, 4 Ohm/ 300 W, 8 Ohm/ 150 W, 187 x 87 mm</t>
        </is>
      </c>
      <c r="C1393" s="1" t="n">
        <v>1890.0</v>
      </c>
      <c r="D1393" s="7" t="n">
        <f>HYPERLINK("https://www.somogyi.hu/product/sal-khs-110-piezo-magassugarzo-4-ohm-300-w-8-ohm-150-w-187-x-87-mm-khs-110-2362","https://www.somogyi.hu/product/sal-khs-110-piezo-magassugarzo-4-ohm-300-w-8-ohm-150-w-187-x-87-mm-khs-110-2362")</f>
        <v>0.0</v>
      </c>
      <c r="E1393" s="7" t="n">
        <f>HYPERLINK("https://www.somogyi.hu/data/img/product_main_images/small/02362.jpg","https://www.somogyi.hu/data/img/product_main_images/small/02362.jpg")</f>
        <v>0.0</v>
      </c>
      <c r="F1393" s="2" t="inlineStr">
        <is>
          <t>5998312726686</t>
        </is>
      </c>
      <c r="G1393" s="4" t="inlineStr">
        <is>
          <t>Egy magassugárzó, amely kristálytiszta magas hangokat és nagy teljesítményt nyújt? A SAL KHS 110 piezo magassugárzó tökéletes választás mindazok számára, akik kompromisszumok nélkül szeretnék élvezni a hangrendszerük kiemelkedő teljesítményét. Akár professzionális felhasználásra, akár otthoni zenehallgatásra, ez a magassugárzó ideális kiegészítője bármilyen hangszórórendszernek.
Kiemelkedő teljesítmény és széles frekvenciatartomány
A SAL KHS 110 magassugárzó 300 W-os maximális teljesítményt kínál 4 Ohm impedancia mellett, míg 8 Ohm esetén 150 W-ra képes. A 2.000–20.000 Hz közötti frekvenciatartomány lehetővé teszi, hogy a magas hangok minden részlete tisztán és pontosan megszólaljon. A 90 dB-es érzékenység garantálja, hogy már alacsonyabb teljesítmény mellett is élvezhesse a részletgazdag hangzást.
Tartós kialakítás és megbízható működés
A piezo technológia tartósságot és alacsony torzítást biztosít, miközben a 35 V-os maximális feszültségtűrés hosszú távon is megbízható működést garantál. Az 187 x 87 mm-es méret kompakt kialakítást eredményez, amely lehetővé teszi, hogy a magassugárzó könnyedén integrálható legyen a különféle hangrendszerekbe.
Sokoldalú alkalmazhatóság és kiváló kompatibilitás
A magas, több mint 1000 Ω-os impedancia révén a SAL KHS 110 magassugárzó rendkívül sokoldalúan alkalmazható különböző rendszerekben. Ideális választás mind otthoni, mind professzionális zenei alkalmazásokhoz, például rendezvények vagy stúdiómunkák során.
Fedezze fel a SAL KHS 110 piezo magassugárzóval a lenyűgöző magas hangokat – tegye még tökéletesebbé hangrendszerét a precíziós hangzás érdekében!</t>
        </is>
      </c>
    </row>
    <row r="1394">
      <c r="A1394" s="6" t="inlineStr">
        <is>
          <t xml:space="preserve">   Hangtechnika / Keverőerősítő</t>
        </is>
      </c>
      <c r="B1394" s="6" t="inlineStr">
        <is>
          <t/>
        </is>
      </c>
      <c r="C1394" s="6" t="inlineStr">
        <is>
          <t/>
        </is>
      </c>
      <c r="D1394" s="6" t="inlineStr">
        <is>
          <t/>
        </is>
      </c>
      <c r="E1394" s="6" t="inlineStr">
        <is>
          <t/>
        </is>
      </c>
      <c r="F1394" s="6" t="inlineStr">
        <is>
          <t/>
        </is>
      </c>
      <c r="G1394" s="6" t="inlineStr">
        <is>
          <t/>
        </is>
      </c>
    </row>
    <row r="1395">
      <c r="A1395" s="3" t="inlineStr">
        <is>
          <t>MPA 240BT</t>
        </is>
      </c>
      <c r="B1395" s="2" t="inlineStr">
        <is>
          <t>SAL MPA 240BT multimédiás keverő erősítő, 240 W, 6 csatorna, BT, FM rádió, USB/SD, EQ</t>
        </is>
      </c>
      <c r="C1395" s="1" t="n">
        <v>103990.0</v>
      </c>
      <c r="D1395" s="7" t="n">
        <f>HYPERLINK("https://www.somogyi.hu/product/sal-mpa-240bt-multimedias-kevero-erosito-240-w-6-csatorna-bt-fm-radio-usb-sd-eq-mpa-240bt-15864","https://www.somogyi.hu/product/sal-mpa-240bt-multimedias-kevero-erosito-240-w-6-csatorna-bt-fm-radio-usb-sd-eq-mpa-240bt-15864")</f>
        <v>0.0</v>
      </c>
      <c r="E1395" s="7" t="n">
        <f>HYPERLINK("https://www.somogyi.hu/data/img/product_main_images/small/15864.jpg","https://www.somogyi.hu/data/img/product_main_images/small/15864.jpg")</f>
        <v>0.0</v>
      </c>
      <c r="F1395" s="2" t="inlineStr">
        <is>
          <t>5999084938987</t>
        </is>
      </c>
      <c r="G1395" s="4" t="inlineStr">
        <is>
          <t>Hogyan biztosíthatja, hogy hangrendszere egyidejűleg több hangszórót is kiváló minőségben működtessen? A SAL MPA 240BT multimédiás keverő erősítő 240 W teljesítményével és 6 csatornás keverési lehetőségeivel ideális választás professzionális és nagyszabású hangosítási igényekhez. Legyen szó rendezvényekről, konferenciákról vagy nagyobb terek hangosításáról, ez az eszköz modern megoldást kínál a megbízhatóság és a funkcionalitás jegyében.
Lenyűgöző teljesítmény és széleskörű csatlakozási lehetőségek
A SAL MPA 240BT 240 W kimeneti teljesítménnyel rendelkezik, amely elegendő akár 25-30 darab 100 voltos hangszóró egyidejű működtetéséhez is. Az eszköz többféle csatlakozási lehetőséget biztosít, beleértve a 2 mikrofonbemenetet (6,3 mm), 3 sztereó RCA bemenetet és egy sztereó RCA kimenetet további erősítők vagy hangrögzítők csatlakoztatásához. A Bluetooth 2.1 kapcsolat lehetővé teszi a vezeték nélküli zenelejátszást mobileszközökről vagy számítógépekről, akár 10 méteres távolságból.
Multimédiás funkciók a zökkenőmentes élményért
Az erősítő beépített FM rádióval rendelkezik, digitális frekvenciakijelzéssel és memorizálható állomásokkal. Az USB és SD bemenetek révén MP3 formátumú zenék is lejátszhatók, ismétlés funkcióval vagy véletlenszerű sorrendben. Az eszközön található grafikus kivezérlés-mérő és túlvezérlés-jelző lehetővé teszi a teljesítmény folyamatos nyomon követését.
Professzionális keverési lehetőségek
Az automatikus mikrofonlekeverés és a figyelemfelkeltő gong hangeffektus révén az eszköz ideális hangbemondásokhoz és rendezvényekhez. A magas és mély hangszínszabályozás segítségével pontosan finomhangolható a hangzás, míg a 6 külön kapcsolható csoport lehetővé teszi, hogy a hangszórók külön szabályozhatók legyenek. Az eszköz kompatibilis hagyományos (4-16 Ohm) és 100 voltos (70-100-120 V) hangrendszerekkel, így sokoldalúan használható.
Tartós és praktikus kialakítás
A SAL MPA 240BT erősítő masszív kivitelű, 480 x 95 x 380 mm méretével és 400 W-os tápellátási igényével hosszú távú megbízhatóságot kínál. A könnyű kezelhetőséget az intuitív kezelőfelület és a praktikus csatlakozási lehetőségek biztosítják, legyen szó kisebb vagy nagyobb rendszerek kezeléséről.
Fedezze fel a SAL MPA 240BT multimédiás keverő erősítőt, és hozza ki a legtöbbet hangrendszeréből – professzionális teljesítmény, modern funkciók és sokoldalúság egyetlen eszközben!</t>
        </is>
      </c>
    </row>
    <row r="1396">
      <c r="A1396" s="3" t="inlineStr">
        <is>
          <t>MPA 120BT</t>
        </is>
      </c>
      <c r="B1396" s="2" t="inlineStr">
        <is>
          <t>SAL MPA 120BT multimédiás keverő erősítő, 120 W, 6 csatorna, BT, FM rádió, USB/SD, EQ</t>
        </is>
      </c>
      <c r="C1396" s="1" t="n">
        <v>75290.0</v>
      </c>
      <c r="D1396" s="7" t="n">
        <f>HYPERLINK("https://www.somogyi.hu/product/sal-mpa-120bt-multimedias-kevero-erosito-120-w-6-csatorna-bt-fm-radio-usb-sd-eq-mpa-120bt-16861","https://www.somogyi.hu/product/sal-mpa-120bt-multimedias-kevero-erosito-120-w-6-csatorna-bt-fm-radio-usb-sd-eq-mpa-120bt-16861")</f>
        <v>0.0</v>
      </c>
      <c r="E1396" s="7" t="n">
        <f>HYPERLINK("https://www.somogyi.hu/data/img/product_main_images/small/16861.jpg","https://www.somogyi.hu/data/img/product_main_images/small/16861.jpg")</f>
        <v>0.0</v>
      </c>
      <c r="F1396" s="2" t="inlineStr">
        <is>
          <t>5999084948931</t>
        </is>
      </c>
      <c r="G1396" s="4" t="inlineStr">
        <is>
          <t>Egy keverő erősítő, amely minden zenei igényt kielégít, legyen szó professzionális rendezvényekről vagy otthoni felhasználásról? A SAL MPA 120BT multimédiás keverő erősítő 120 W teljesítménnyel és 6 csatornás keverési lehetőséggel rendelkezik, miközben számos modern funkcióval segíti a felhasználókat, mint például Bluetooth kapcsolódás, FM rádió és USB/SD lejátszás.
Kiemelkedő teljesítmény és sokoldalú csatlakozási lehetőségek
Ez az eszköz 120 W-os kimeneti teljesítményt nyújt, amely elegendő ahhoz, hogy tiszta és erőteljes hangzást biztosítson kisebb és közepes méretű helyiségekben. A 6 független csatornának köszönhetően egyszerre több bemenetet is kezelhet, legyen szó USB-ről, SD kártyáról, mikrofonról vagy sztereó RCA bemenetről. A Bluetooth 2.1 kapcsolat akár 10 méteres hatótávval lehetővé teszi, hogy mobileszközéről vagy számítógépéről vezeték nélkül játsszon le zenét.
Beépített multimédiás funkciók
A SAL MPA 120BT integrált FM rádióval rendelkezik, amely memorizálható állomásokkal könnyíti meg a használatot. Az USB és SD bemenetek révén MP3 és WMA formátumú zeneszámokat is lejátszhat, akár ismétlés, akár véletlenszerű sorrendben. Az LCD kijelző egy grafikus rádióskálát, kivezérlésmérőt és lejátszási listát is megjelenít, hogy mindig pontosan kövesse, mi történik.
Professzionális keverési lehetőségek
A keverő erősítő magas és mély hangszínszabályozással rendelkezik, amely lehetővé teszi a hang pontos finomhangolását. A hangbemondások során automatikus zene le- és felkeverési funkció biztosítja a zökkenőmentes átmenetet, míg a kettős hangerő-szabályozás szintkorlátozással maximális kontrollt nyújt. Emellett gong hangjelzés funkcióval is ellátott, amely figyelemfelkeltő effektusként szolgálhat.
Kiváló kompatibilitás és megbízhatóság
A 100 V-os hangszórókhoz 6 független csoportba köthető és szabályozható csatlakozásokat kínál. A kimeneti lehetőségek között RCA (mono) kimenet is szerepel, amely további erősítők vagy hangrögzítők csatlakoztatását teszi lehetővé. A 230 V-os tápellátás és a masszív, 6,8 kg-os kivitel hosszú távú megbízhatóságot garantál.
Válassza a SAL MPA 120BT multimédiás keverő erősítőt, hogy minden zenei és hangosítási igényét egyszerűen és hatékonyan megoldja – professzionális teljesítmény és modern funkciók egyetlen eszközben!</t>
        </is>
      </c>
    </row>
    <row r="1397">
      <c r="A1397" s="6" t="inlineStr">
        <is>
          <t xml:space="preserve">   Hangtechnika / Speciális hangszóró, hangdoboz</t>
        </is>
      </c>
      <c r="B1397" s="6" t="inlineStr">
        <is>
          <t/>
        </is>
      </c>
      <c r="C1397" s="6" t="inlineStr">
        <is>
          <t/>
        </is>
      </c>
      <c r="D1397" s="6" t="inlineStr">
        <is>
          <t/>
        </is>
      </c>
      <c r="E1397" s="6" t="inlineStr">
        <is>
          <t/>
        </is>
      </c>
      <c r="F1397" s="6" t="inlineStr">
        <is>
          <t/>
        </is>
      </c>
      <c r="G1397" s="6" t="inlineStr">
        <is>
          <t/>
        </is>
      </c>
    </row>
    <row r="1398">
      <c r="A1398" s="3" t="inlineStr">
        <is>
          <t>MRPX 2-165</t>
        </is>
      </c>
      <c r="B1398" s="2" t="inlineStr">
        <is>
          <t>SAL MRPX 2-165 vízálló hangszóró pár, 2 x 75 W, 180 mm, 4 Ohm, 2 utas</t>
        </is>
      </c>
      <c r="C1398" s="1" t="n">
        <v>13690.0</v>
      </c>
      <c r="D1398" s="7" t="n">
        <f>HYPERLINK("https://www.somogyi.hu/product/sal-mrpx-2-165-vizallo-hangszoro-par-2-x-75-w-180-mm-4-ohm-2-utas-mrpx-2-165-14584","https://www.somogyi.hu/product/sal-mrpx-2-165-vizallo-hangszoro-par-2-x-75-w-180-mm-4-ohm-2-utas-mrpx-2-165-14584")</f>
        <v>0.0</v>
      </c>
      <c r="E1398" s="7" t="n">
        <f>HYPERLINK("https://www.somogyi.hu/data/img/product_main_images/small/14584.jpg","https://www.somogyi.hu/data/img/product_main_images/small/14584.jpg")</f>
        <v>0.0</v>
      </c>
      <c r="F1398" s="2" t="inlineStr">
        <is>
          <t>5999084926267</t>
        </is>
      </c>
      <c r="G1398" s="4" t="inlineStr">
        <is>
          <t>Szeretne olyan hangszórót, amely a nedves és párás környezetben is kiváló minőségű hangzást biztosít? A SAL MRPX 2-165 vízálló hangszóró pár 2 x 75 W teljesítménnyel és strapabíró kialakítással tökéletes választás infraszaunákba, uszodákba, fürdőkbe, teraszokra, lakóautókba vagy akár hajókra. Ez a megbízható hangszórópár a minőség és a tartósság találkozása.
Erőteljes teljesítmény és részletgazdag hangzás
A SAL MRPX 2-165 2-utas koaxiális konstrukcióval rendelkezik, amely ∅30 mm-es dómsugárzójával a kristálytiszta magas hangokat, míg mélyhangszórójával a dinamikus basszusokat biztosítja. A 150 W-os maximális zenei terhelhetőség (2 x 75 W) és a 45–20.000 Hz közötti frekvenciatartomány garantálja, hogy minden részlet élettel telivé váljon, akár zenehallgatás, akár hangosítás során. Az érzékenység 87 dB, amely biztosítja, hogy a hangszóró hatékonyan működjön alacsonyabb teljesítmény mellett is.
Vízálló és időjárásálló kialakítás
Ez a hangszórópár kifejezetten nedves és párás környezetekre lett tervezve, így ideális kültéri és beltéri helyszínekre egyaránt. A strapabíró kivitelnek köszönhetően megbízhatóan használható extrém körülmények között is, legyen szó fürdőhelyiségekről, teraszokról vagy hajókról. A vízálló tulajdonságok hosszú élettartamot és tartós teljesítményt biztosítanak.
Kompakt méret és sokoldalúság
A 180 mm-es átmérő kompakt, de erőteljes hangzást garantál, míg a 4 Ohm impedancia könnyű integrációt tesz lehetővé különböző hangrendszerekbe. Sokoldalú felhasználhatóságának köszönhetően bármely helyszínen kiemelkedő teljesítményt nyújt.
Fedezze fel a SAL MRPX 2-165 vízálló hangszórópárt, és élvezze a megbízható, kristálytiszta hangzást minden környezetben – ahol a zene életre kel!</t>
        </is>
      </c>
    </row>
    <row r="1399">
      <c r="A1399" s="3" t="inlineStr">
        <is>
          <t>MRPX 2-130</t>
        </is>
      </c>
      <c r="B1399" s="2" t="inlineStr">
        <is>
          <t>SAL MRPX 2-130 vízálló hangszóró pár, 2 x 50 W, 150 mm, 4 Ohm, 2 utas</t>
        </is>
      </c>
      <c r="C1399" s="1" t="n">
        <v>11490.0</v>
      </c>
      <c r="D1399" s="7" t="n">
        <f>HYPERLINK("https://www.somogyi.hu/product/sal-mrpx-2-130-vizallo-hangszoro-par-2-x-50-w-150-mm-4-ohm-2-utas-mrpx-2-130-14583","https://www.somogyi.hu/product/sal-mrpx-2-130-vizallo-hangszoro-par-2-x-50-w-150-mm-4-ohm-2-utas-mrpx-2-130-14583")</f>
        <v>0.0</v>
      </c>
      <c r="E1399" s="7" t="n">
        <f>HYPERLINK("https://www.somogyi.hu/data/img/product_main_images/small/14583.jpg","https://www.somogyi.hu/data/img/product_main_images/small/14583.jpg")</f>
        <v>0.0</v>
      </c>
      <c r="F1399" s="2" t="inlineStr">
        <is>
          <t>5999084926250</t>
        </is>
      </c>
      <c r="G1399" s="4" t="inlineStr">
        <is>
          <t>Egy vízálló hangszórópárt keres, amely megbízható teljesítményt nyújt nedves és párás környezetben is? A SAL MRPX 2-130 vízálló hangszóró pár 2 x 50 W zenei terhelhetőséggel, strapabíró kialakítással és kiváló hangminőséggel tökéletes választás, akár uszodában, szaunában, teraszon, lakóautóban vagy hajón történő használatra.
Kiváló teljesítmény és hangzás
A SAL MRPX 2-130 hangszóró 2-utas koaxiális konstrukciójának köszönhetően részletgazdag és kiegyensúlyozott hangzást kínál. A ∅30 mm-es dómsugárzó gondoskodik a tiszta magas hangokról, míg a mélyhangszóró precízen és dinamikusan szólaltatja meg az alacsony frekvenciákat. A 100 W-os maximális teljesítmény (2 x 50 W) és a 50–20.000 Hz közötti frekvenciatartomány révén ez a hangszórópár minden zenei műfajban megállja a helyét.
Tartósság és vízálló kialakítás
Az MRPX 2-130 hangszórópár kifejezetten nedves és párás környezetben történő használatra készült, így ideális választás infraszaunákba, fürdőkbe, uszodákba, illetve kültéri helyszínekre, például teraszokra vagy hajókra. A robusztus kialakítás biztosítja, hogy a hangszórók ellenálljanak a nedvesség káros hatásainak, miközben hosszú távon is megőrzik kiváló hangminőségüket.
Kompakt méret és sokoldalú alkalmazhatóság
A 150 mm-es átmérő kompakt méretet biztosít, amely lehetővé teszi a hangszórók egyszerű telepítését különféle helyszíneken. A 4 Ohm impedancia széleskörű kompatibilitást kínál, így a hangszórók számos audiorendszerrel könnyen integrálhatók.
Válassza a SAL MRPX 2-130 vízálló hangszórópárt, hogy minden környezetben kiváló minőségű hangzást élvezhessen – a tartósság és a lenyűgöző hangzás egyetlen megoldásban!</t>
        </is>
      </c>
    </row>
    <row r="1400">
      <c r="A1400" s="3" t="inlineStr">
        <is>
          <t>CES 165</t>
        </is>
      </c>
      <c r="B1400" s="2" t="inlineStr">
        <is>
          <t>SAL CES 165 2 utas mennyezeti hangszóró, 10 W terhelhetőség, 2 utas, 110 V-os transzformátor, 8 Ohm impedancia</t>
        </is>
      </c>
      <c r="C1400" s="1" t="n">
        <v>13790.0</v>
      </c>
      <c r="D1400" s="7" t="n">
        <f>HYPERLINK("https://www.somogyi.hu/product/sal-ces-165-2-utas-mennyezeti-hangszoro-10-w-terhelhetoseg-2-utas-110-v-os-transzformator-8-ohm-impedancia-ces-165-16862","https://www.somogyi.hu/product/sal-ces-165-2-utas-mennyezeti-hangszoro-10-w-terhelhetoseg-2-utas-110-v-os-transzformator-8-ohm-impedancia-ces-165-16862")</f>
        <v>0.0</v>
      </c>
      <c r="E1400" s="7" t="n">
        <f>HYPERLINK("https://www.somogyi.hu/data/img/product_main_images/small/16862.jpg","https://www.somogyi.hu/data/img/product_main_images/small/16862.jpg")</f>
        <v>0.0</v>
      </c>
      <c r="F1400" s="2" t="inlineStr">
        <is>
          <t>5999084948948</t>
        </is>
      </c>
      <c r="G1400" s="4" t="inlineStr">
        <is>
          <t>Hogyan érheti el, hogy mennyezeti hangszórója tökéletesen illeszkedjen a térbe, miközben tiszta és részletgazdag hangzást biztosít? A SAL CES 165 2-utas mennyezeti hangszóró kiváló választás irodák, üzletek, közösségi helyiségek és otthoni használatra. A beépített 110 V-os transzformátor és a 2-utas rendszer garantálja a megbízható teljesítményt és a kiemelkedő hangminőséget.
Prémium hangzás és sokoldalú teljesítmény
Ez a mennyezeti hangszóró 10 W maximális terhelhetőséggel rendelkezik, amely 3 különböző hangerőszintre csatlakoztatható (2,5 W, 5 W, 10 W). A 80–20.000 Hz közötti frekvenciatartomány tiszta, részletgazdag hangzást nyújt, amely tökéletesen megfelel zenei aláfestéshez vagy hangosítási célokra. A 2-utas rendszer, amely ∅165 mm-es mélyhangszórót és ∅25 mm-es magassugárzót tartalmaz, kiegyensúlyozott, gazdag hangképet biztosít.
Beépített 110 V-os transzformátor
A beépített 110 V-os transzformátor lehetővé teszi, hogy a hangszóró könnyedén illeszkedjen nagyobb hangrendszerekhez is. Ez különösen előnyös, ha több eszközt szeretne egyszerre csatlakoztatni egy központi erősítőhöz, megőrizve a rendszer stabilitását és teljesítményét.
Diszkrét és könnyen telepíthető kialakítás
A SAL CES 165 hangszóró kompakt mérete (∅206 x 70 mm-es beépítési méret) lehetővé teszi az egyszerű és diszkrét telepítést. A mennyezeti kialakítás nemcsak esztétikailag vonzó, hanem optimális hangeloszlást is biztosít, amely egyenletes hangminőséget garantál a tér minden pontján.
Széleskörű kompatibilitás és megbízhatóság
A 8 Ohm impedancia és a többféle teljesítménybeállítás révén a SAL CES 165 kompatibilis számos hangrendszerrel. A tartós és strapabíró kialakítás hosszú távú megbízhatóságot kínál, még intenzív használat mellett is.
Válassza a SAL CES 165 2-utas mennyezeti hangszórót, hogy bármilyen környezetben tiszta, részletgazdag hangzást élvezhessen – a funkcionalitás és az esztétika tökéletes harmóniája!</t>
        </is>
      </c>
    </row>
    <row r="1401">
      <c r="A1401" s="3" t="inlineStr">
        <is>
          <t>CES 3</t>
        </is>
      </c>
      <c r="B1401" s="2" t="inlineStr">
        <is>
          <t>SAL CES 3 mennyezeti hangszóró, 10 W terhelhetőség, 110 V-os transzformátor, 8 Ohm impedancia</t>
        </is>
      </c>
      <c r="C1401" s="1" t="n">
        <v>12190.0</v>
      </c>
      <c r="D1401" s="7" t="n">
        <f>HYPERLINK("https://www.somogyi.hu/product/sal-ces-3-mennyezeti-hangszoro-10-w-terhelhetoseg-110-v-os-transzformator-8-ohm-impedancia-ces-3-2731","https://www.somogyi.hu/product/sal-ces-3-mennyezeti-hangszoro-10-w-terhelhetoseg-110-v-os-transzformator-8-ohm-impedancia-ces-3-2731")</f>
        <v>0.0</v>
      </c>
      <c r="E1401" s="7" t="n">
        <f>HYPERLINK("https://www.somogyi.hu/data/img/product_main_images/small/02731.jpg","https://www.somogyi.hu/data/img/product_main_images/small/02731.jpg")</f>
        <v>0.0</v>
      </c>
      <c r="F1401" s="2" t="inlineStr">
        <is>
          <t>5998312730553</t>
        </is>
      </c>
      <c r="G1401" s="4" t="inlineStr">
        <is>
          <t>Hogyan biztosíthatja a tiszta és egységes hangzást mennyezeti beépítéssel? A SAL CES 3 mennyezeti hangszóró 10 W terhelhetőséggel, beépített 110 V-os transzformátorral és 8 Ohm impedanciával ideális megoldás, ha diszkrét, mégis megbízható hangosításra van szükség. Legyen szó irodáról, üzlethelyiségről vagy otthoni használatról, ez a hangszóró kiváló minőséget nyújt.
Kiváló hangminőség és megbízható teljesítmény
A SAL CES 3 mennyezeti hangszóró maximális terhelhetősége 10 W, amely optimális teljesítményt biztosít kisebb és közepes helyiségek számára. A 50–18.000 Hz közötti frekvenciatartomány gondoskodik a tiszta és részletgazdag hangzásról, amely alkalmassá teszi háttérzene lejátszására vagy beszédhangosításra. A 8 Ohm impedancia széles körű kompatibilitást garantál különféle hangrendszerekkel.
Beépített 110 V-os transzformátor
A beépített 110 V-os transzformátor lehetővé teszi, hogy a SAL CES 3 könnyen integrálható legyen nagyobb hangosítási rendszerekbe is. Ez a funkció különösen hasznos, ha több hangszórót szeretne párhuzamosan csatlakoztatni egy központi erősítőhöz, miközben megőrzi a rendszer stabilitását és teljesítményét.
Diszkrét és egyszerű telepítés
A hangszóró ∅165 mm-es hangsugárzóval és ∅190 x 85 mm-es beépítési mérettel rendelkezik, amely könnyen illeszkedik különféle mennyezeti kialakításokhoz. A kompakt méret lehetővé teszi, hogy a hangszóró szinte észrevétlenül beilleszkedjen a térbe, miközben optimális hangeloszlást biztosít.
Válassza a SAL CES 3 mennyezeti hangszórót, hogy diszkrét megoldással biztosíthassa a kiváló minőségű hangzást minden helyiségben – a megbízhatóság és a tiszta hangzás találkozása!</t>
        </is>
      </c>
    </row>
    <row r="1402">
      <c r="A1402" s="3" t="inlineStr">
        <is>
          <t>WAS 2</t>
        </is>
      </c>
      <c r="B1402" s="2" t="inlineStr">
        <is>
          <t>SAL WAS 2 falra szerelhető hangdoboz, 10 W, 110 V-os transzformátor, 8 Ohm impedancia</t>
        </is>
      </c>
      <c r="C1402" s="1" t="n">
        <v>15290.0</v>
      </c>
      <c r="D1402" s="7" t="n">
        <f>HYPERLINK("https://www.somogyi.hu/product/sal-was-2-falra-szerelheto-hangdoboz-10-w-110-v-os-transzformator-8-ohm-impedancia-was-2-4175","https://www.somogyi.hu/product/sal-was-2-falra-szerelheto-hangdoboz-10-w-110-v-os-transzformator-8-ohm-impedancia-was-2-4175")</f>
        <v>0.0</v>
      </c>
      <c r="E1402" s="7" t="n">
        <f>HYPERLINK("https://www.somogyi.hu/data/img/product_main_images/small/04175.jpg","https://www.somogyi.hu/data/img/product_main_images/small/04175.jpg")</f>
        <v>0.0</v>
      </c>
      <c r="F1402" s="2" t="inlineStr">
        <is>
          <t>5998312737064</t>
        </is>
      </c>
      <c r="G1402" s="4" t="inlineStr">
        <is>
          <t>Olyan hangdobozra van szüksége, amely falra szerelhető és megbízható teljesítményt nyújt akár professzionális környezetben is? A SAL WAS 2 falra szerelhető hangdoboz 10 W terhelhetőséggel, beépített 110 V-os transzformátorral és 8 Ohm impedanciával tökéletes választás irodák, üzletek, közösségi terek vagy kisebb rendezvények hangosítására.
Kiváló hangminőség és megbízhatóság
A SAL WAS 2 hangdoboz 10 W-os maximális terhelhetősége és 50–18.000 Hz közötti frekvenciatartománya garantálja a tiszta, kiegyensúlyozott hangzást. Az eszköz ideális háttérzene, hangosítás vagy információs üzenetek közvetítésére, miközben biztosítja a stabil és folyamatos működést.
Beépített 110 V-os transzformátor a rugalmasságért
A 110 V-os transzformátor beépített megoldása lehetővé teszi, hogy a hangdoboz nagyobb hangrendszerek részeként is használható legyen. Ez különösen előnyös, ha több eszközt szeretne egyszerre csatlakoztatni egy központi erősítőhöz, megőrizve a rendszer stabilitását és teljesítményét.
Kompakt és könnyen telepíthető kialakítás
A ∅165 mm-es hangsugárzó és a 275 x 200 x 110 mm-es méret lehetővé teszi a diszkrét és esztétikus telepítést falra szerelve. A praktikus kialakításnak köszönhetően a SAL WAS 2 nemcsak jól illeszkedik a térbe, hanem optimális hangeloszlást is biztosít, legyen szó zárt helyiségről vagy fedett kültéri területről.
Ideális választás sokoldalú felhasználásra
Az eszköz 8 Ohm impedanciájának köszönhetően széles körben kompatibilis különféle hangrendszerekkel. Legyen szó professzionális hangosítási rendszerről vagy otthoni felhasználásról, ez a falra szerelhető hangdoboz minden helyzetben kiváló hangzást nyújt.
Válassza a SAL WAS 2 falra szerelhető hangdobozt, hogy megbízható és minőségi hangzást biztosítson minden környezetben – a tartósság és a precíz hangélmény tökéletes ötvözete!</t>
        </is>
      </c>
    </row>
    <row r="1403">
      <c r="A1403" s="6" t="inlineStr">
        <is>
          <t xml:space="preserve">   Hangtechnika / Mikrofon</t>
        </is>
      </c>
      <c r="B1403" s="6" t="inlineStr">
        <is>
          <t/>
        </is>
      </c>
      <c r="C1403" s="6" t="inlineStr">
        <is>
          <t/>
        </is>
      </c>
      <c r="D1403" s="6" t="inlineStr">
        <is>
          <t/>
        </is>
      </c>
      <c r="E1403" s="6" t="inlineStr">
        <is>
          <t/>
        </is>
      </c>
      <c r="F1403" s="6" t="inlineStr">
        <is>
          <t/>
        </is>
      </c>
      <c r="G1403" s="6" t="inlineStr">
        <is>
          <t/>
        </is>
      </c>
    </row>
    <row r="1404">
      <c r="A1404" s="3" t="inlineStr">
        <is>
          <t>M 8</t>
        </is>
      </c>
      <c r="B1404" s="2" t="inlineStr">
        <is>
          <t>SAL M 8 kézi mikrofon, dinamikus mikrofon, kardioid iránykarakterisztika, fém XLR csatlakozódugó és kábel</t>
        </is>
      </c>
      <c r="C1404" s="1" t="n">
        <v>10690.0</v>
      </c>
      <c r="D1404" s="7" t="n">
        <f>HYPERLINK("https://www.somogyi.hu/product/sal-m-8-kezi-mikrofon-dinamikus-mikrofon-kardioid-iranykarakterisztika-fem-xlr-csatlakozodugo-es-kabel-m-8-14998","https://www.somogyi.hu/product/sal-m-8-kezi-mikrofon-dinamikus-mikrofon-kardioid-iranykarakterisztika-fem-xlr-csatlakozodugo-es-kabel-m-8-14998")</f>
        <v>0.0</v>
      </c>
      <c r="E1404" s="7" t="n">
        <f>HYPERLINK("https://www.somogyi.hu/data/img/product_main_images/small/14998.jpg","https://www.somogyi.hu/data/img/product_main_images/small/14998.jpg")</f>
        <v>0.0</v>
      </c>
      <c r="F1404" s="2" t="inlineStr">
        <is>
          <t>5999084930325</t>
        </is>
      </c>
      <c r="G1404" s="4" t="inlineStr">
        <is>
          <t>Olyan mikrofont keres, amely kiváló hangminőséget nyújt professzionális és hétköznapi felhasználásra is? A SAL M 8 kézi dinamikus mikrofon ideális választás hangosítási célokra, köszönhetően masszív kialakításának, kiváló iránykarakterisztikájának és kényelmes használatának. Ez a mikrofon biztosítja, hogy hangja mindig tisztán és részletgazdagon szólaljon meg.
Professzionális hangminőség és precizitás
A SAL M 8 dinamikus mikrofon kardioid iránykarakterisztikával rendelkezik, amely hatékonyan szűri ki a nem kívánt háttérzajokat, így a hangforrás mindig fókuszban marad. Ez különösen előnyös élő előadások, konferenciák, vagy akár stúdiófelvételek során, ahol a tiszta és pontos hangzás elengedhetetlen.
Ergonomikus és masszív kialakítás
A mikrofon teljes egészében fém markolattal van ellátva, amely nemcsak strapabíró, de kényelmes fogást is biztosít. A markolatba épített be/ki kapcsoló könnyű kezelhetőséget kínál, miközben a masszív fém XLR csatlakozódugók és az extra hosszú, eltávolítható kábel megbízhatóságot és rugalmasságot nyújtanak bármilyen helyzetben.
Sokoldalú kompatibilitás
A SAL M 8 mikrofon könnyedén használható bármilyen mikrofonbemenettel rendelkező készülékkel, legyen szó hangosító berendezésekről, keverőkről vagy felvevő eszközökről. Ez a sokoldalúság biztosítja, hogy a mikrofon minden felhasználói igényt kielégítsen.
Megbízhatóság és tartósság
A mikrofon robusztus kivitele és strapabíró anyagai hosszú élettartamot garantálnak még intenzív használat mellett is. Legyen szó élő előadásokról, gyakori utazásról, vagy stúdióban való használatról, a SAL M 8 minden helyzetben helytáll.
Válassza a SAL M 8 kézi dinamikus mikrofont, hogy minden hangosítási helyzetben a lehető legjobb hangminőséget élvezhesse – professzionális teljesítmény, tartós kivitel és megbízható működés egyetlen eszközben!</t>
        </is>
      </c>
    </row>
    <row r="1405">
      <c r="A1405" s="3" t="inlineStr">
        <is>
          <t>HT 810</t>
        </is>
      </c>
      <c r="B1405" s="2" t="inlineStr">
        <is>
          <t>SAL HT 810 mikrofonállvány, 100-155 cm magasság, 25-35 mm átmérőjű mikrofonmarkolat, csúszásgátló lábak</t>
        </is>
      </c>
      <c r="C1405" s="1" t="n">
        <v>11890.0</v>
      </c>
      <c r="D1405" s="7" t="n">
        <f>HYPERLINK("https://www.somogyi.hu/product/sal-ht-810-mikrofonallvany-100-155-cm-magassag-25-35-mm-atmeroju-mikrofonmarkolat-csuszasgatlo-labak-ht-810-15716","https://www.somogyi.hu/product/sal-ht-810-mikrofonallvany-100-155-cm-magassag-25-35-mm-atmeroju-mikrofonmarkolat-csuszasgatlo-labak-ht-810-15716")</f>
        <v>0.0</v>
      </c>
      <c r="E1405" s="7" t="n">
        <f>HYPERLINK("https://www.somogyi.hu/data/img/product_main_images/small/15716.jpg","https://www.somogyi.hu/data/img/product_main_images/small/15716.jpg")</f>
        <v>0.0</v>
      </c>
      <c r="F1405" s="2" t="inlineStr">
        <is>
          <t>5999084937508</t>
        </is>
      </c>
      <c r="G1405" s="4" t="inlineStr">
        <is>
          <t>Olyan mikrofonállványt keres, amely stabilitást és rugalmasságot kínál minden helyzetben? A SAL HT 810 mikrofonállvány tökéletes választás élő előadásokhoz, stúdiómunkához vagy bármilyen hangosítási feladathoz. Könnyű, mégis masszív kialakítása, állítható magassága és csúszásgátló lábai garantálják a kényelmes és megbízható használatot.
Stabil és sokoldalú kialakítás
A SAL HT 810 mikrofonállvány 2 az 1-ben konstrukciójával két tartórúddal rendelkezik, amelyek lehetővé teszik a mikrofonok sokoldalú elhelyezését. Az állvány könnyű, de stabil szerkezetű, így biztosítja a mikrofon rögzítését még hosszabb használat során is. A csúszásgátló lábak garantálják a biztos állást bármilyen felületen, miközben megvédik az állványt a mozgástól vagy elcsúszástól.
Állítható magasság és univerzális mikrofontartó
Az állvány magassága 100 és 160 cm között állítható, így bármilyen helyzethez könnyen igazítható. A tartozék univerzális mikrofontartó 25–35 mm átmérőjű mikrofonok számára lett tervezve, amely biztosítja a széleskörű kompatibilitást különféle eszközökkel. A csomagban található 15/9 mm-es csavarátalakítók további rugalmasságot biztosítanak a különböző mikrofontípusok rögzítéséhez.
Könnyű hordozhatóság és kompakt súly
A mindössze 2 kg súlyú SAL HT 810 mikrofonállvány könnyedén szállítható, miközben masszív kivitelével hosszú élettartamot kínál. Az egyszerű összeszerelés és a tartós anyaghasználat lehetővé teszi, hogy az állvány minden helyzetben megállja a helyét, akár professzionális, akár hobbi célú felhasználásról van szó.
Válassza a SAL HT 810 mikrofonállványt, ha egy strapabíró, könnyen kezelhető és sokoldalúan használható megoldásra van szüksége – biztosítson magának tökéletes mikrofonelhelyezést minden helyzetben!</t>
        </is>
      </c>
    </row>
    <row r="1406">
      <c r="A1406" s="3" t="inlineStr">
        <is>
          <t>M 61</t>
        </is>
      </c>
      <c r="B1406" s="2" t="inlineStr">
        <is>
          <t>SAL M 61 kézi mikrofon, kardioid iránykarakterisztika, XLR csatlakozókábel</t>
        </is>
      </c>
      <c r="C1406" s="1" t="n">
        <v>3490.0</v>
      </c>
      <c r="D1406" s="7" t="n">
        <f>HYPERLINK("https://www.somogyi.hu/product/sal-m-61-kezi-mikrofon-kardioid-iranykarakterisztika-xlr-csatlakozokabel-m-61-14996","https://www.somogyi.hu/product/sal-m-61-kezi-mikrofon-kardioid-iranykarakterisztika-xlr-csatlakozokabel-m-61-14996")</f>
        <v>0.0</v>
      </c>
      <c r="E1406" s="7" t="n">
        <f>HYPERLINK("https://www.somogyi.hu/data/img/product_main_images/small/14996.jpg","https://www.somogyi.hu/data/img/product_main_images/small/14996.jpg")</f>
        <v>0.0</v>
      </c>
      <c r="F1406" s="2" t="inlineStr">
        <is>
          <t>5999084930301</t>
        </is>
      </c>
      <c r="G1406" s="4" t="inlineStr">
        <is>
          <t>Egy megbízható mikrofont keres, amely tökéletes választás általános hangosítási célokra? A SAL M 61 kézi dinamikus mikrofon kardioid iránykarakterisztikájával, praktikus kialakításával és hosszú XLR csatlakozókábelével garantáltan megkönnyíti az élő előadásokat, konferenciákat vagy akár otthoni hangosítást.
Pontos hangzás kardioid iránykarakterisztikával
A mikrofon kardioid iránykarakterisztikája hatékonyan csökkenti a nem kívánt háttérzajokat, biztosítva, hogy a hangforrás mindig tisztán és élesen szólaljon meg. A 80–14.500 Hz közötti frekvenciatartomány lehetővé teszi a hangok széles spektrumának pontos visszaadását, amely tökéletesen megfelel különféle hangosítási feladatokra.
Ergonomikus és praktikus kialakítás
A SAL M 61 kézi mikrofon kényelmes műanyag markolattal van ellátva, amely könnyű fogást biztosít, és hosszú távon is kényelmes használatot tesz lehetővé. A markolatba épített be/ki kapcsoló egyszerűvé teszi a használatot, különösen élő előadások során. A mikrofonhoz tartozó, kb. 3 méter hosszú, eltávolítható XLR csatlakozókábel maximális mozgásszabadságot biztosít, miközben megbízható kapcsolatot garantál.
Széleskörű kompatibilitás
Ez a dinamikus mikrofon könnyedén csatlakoztatható bármilyen mikrofon-bemenettel rendelkező eszközhöz, legyen szó hangosító berendezésekről, keverőkről vagy egyéb audioeszközökről. Az XLR és Ø6,3 mm-es csatlakozóknak köszönhetően rugalmasan használható különböző hangrendszerekkel.
Tartós és könnyen kezelhető kialakítás
A mikrofon 600 Ohm impedanciával rendelkezik, amely stabil és megbízható teljesítményt biztosít. Kompakt mérete (Ø42 / 31 x 170 mm) és masszív kialakítása lehetővé teszi a könnyű szállítást és tárolást, így ideális választás gyakori használathoz is.
Válassza a SAL M 61 kézi mikrofont, hogy minden hangosítási helyzetben a legjobb minőséget biztosítsa – egyszerű használat, megbízható működés és tiszta hangzás egyetlen eszközben!</t>
        </is>
      </c>
    </row>
    <row r="1407">
      <c r="A1407" s="3" t="inlineStr">
        <is>
          <t>M 12</t>
        </is>
      </c>
      <c r="B1407" s="2" t="inlineStr">
        <is>
          <t>SAL M 12 stúdiómikrofon-szett, stabil asztali állvány, rezgéscsillapított, kondenzátormikrofon, kardioid iránykarakterisztika, XLR</t>
        </is>
      </c>
      <c r="C1407" s="1" t="n">
        <v>9490.0</v>
      </c>
      <c r="D1407" s="7" t="n">
        <f>HYPERLINK("https://www.somogyi.hu/product/sal-m-12-studiomikrofon-szett-stabil-asztali-allvany-rezgescsillapitott-kondenzatormikrofon-kardioid-iranykarakterisztika-xlr-m-12-17305","https://www.somogyi.hu/product/sal-m-12-studiomikrofon-szett-stabil-asztali-allvany-rezgescsillapitott-kondenzatormikrofon-kardioid-iranykarakterisztika-xlr-m-12-17305")</f>
        <v>0.0</v>
      </c>
      <c r="E1407" s="7" t="n">
        <f>HYPERLINK("https://www.somogyi.hu/data/img/product_main_images/small/17305.jpg","https://www.somogyi.hu/data/img/product_main_images/small/17305.jpg")</f>
        <v>0.0</v>
      </c>
      <c r="F1407" s="2" t="inlineStr">
        <is>
          <t>5999084953270</t>
        </is>
      </c>
      <c r="G1407" s="4" t="inlineStr">
        <is>
          <t>Szüksége van egy professzionális mikrofonra, amely tökéletesen illik YouTube-tartalmak készítéséhez, podcastokhoz, vagy akár stúdiófelvételekhez? A SAL M 12 stúdiómikrofon-szett mindent biztosít, amire szüksége lehet – kiváló Hi-Fi hangminőség, rezgéscsillapított tartófej, stabil asztali állvány és nagyérzékenységű kondenzátormikrofon, hogy munkája mindig professzionális szinten valósulhasson meg.
Kiváló hangminőség a tökéletes felvételekért
A mikrofon kardioid iránykarakterisztikája lehetővé teszi, hogy kizárólag a hangforrást rögzítse, minimalizálva a háttérzajokat és a nem kívánt hangokat. A 20–20.000 Hz közötti frekvenciaátvitel biztosítja a részletgazdag és természetes hangzást, amely ideális választás podcastok, szinkronizálások, streamelések vagy énekfelvételek készítéséhez. A magas kimeneti szint és az alacsony zajszint garantálja a tiszta, torzításmentes hangot.
Stabil asztali állvány és rezgéscsillapított kialakítás
A mikrofonhoz tartozó masszív asztali állvány stabil alátámasztást nyújt, míg a rezgéscsillapított tartófej megakadályozza a nem kívánt vibrációk és mozgások továbbítását a mikrofonba. Ez különösen fontos stúdiómunkák során, ahol minden részlet számít.
Kondenzátormikrofon professzionális teljesítménnyel
A mikrofon nagyérzékenységű kondenzátoros kialakítása és 150 Ohm impedanciája tökéletesen illeszkedik különféle hangosító és rögzítő rendszerekhez, legyen szó keverőkről, PA erősítőkről, számítógépekről vagy notebookokról. A beépített szimmetrikus XLR 3-pólusú csatlakozó biztosítja a stabil kapcsolatot, miközben a 2,4 méteres kábel elegendő mozgásteret kínál.
Külső tápellátás a megbízható működésért
A SAL M 12 stúdiómikrofon fantomtápot igényel a működéshez, amelyet például keverőből, PA erősítőből vagy egyes számítógépekből biztosíthat. A fantomtáp révén a mikrofon mindig a legjobb teljesítményt nyújtja, akár élőben, akár stúdiókörnyezetben használja.
Válassza a SAL M 12 stúdiómikrofon-szettet, hogy minden felvételénél professzionális hangminőséget érhessen el – legyen szó YouTube-videókról, podcastokról vagy bármilyen kreatív projektről, ezzel a mikrofonnal minden részletre figyelhet!</t>
        </is>
      </c>
    </row>
    <row r="1408">
      <c r="A1408" s="3" t="inlineStr">
        <is>
          <t>M 11</t>
        </is>
      </c>
      <c r="B1408" s="2" t="inlineStr">
        <is>
          <t>SAL M 11 asztali mikrofon, elektret kondenzátor, kardioid iránykarakterisztika, XLR</t>
        </is>
      </c>
      <c r="C1408" s="1" t="n">
        <v>15290.0</v>
      </c>
      <c r="D1408" s="7" t="n">
        <f>HYPERLINK("https://www.somogyi.hu/product/sal-m-11-asztali-mikrofon-elektret-kondenzator-kardioid-iranykarakterisztika-xlr-m-11-15301","https://www.somogyi.hu/product/sal-m-11-asztali-mikrofon-elektret-kondenzator-kardioid-iranykarakterisztika-xlr-m-11-15301")</f>
        <v>0.0</v>
      </c>
      <c r="E1408" s="7" t="n">
        <f>HYPERLINK("https://www.somogyi.hu/data/img/product_main_images/small/15301.jpg","https://www.somogyi.hu/data/img/product_main_images/small/15301.jpg")</f>
        <v>0.0</v>
      </c>
      <c r="F1408" s="2" t="inlineStr">
        <is>
          <t>5999084933357</t>
        </is>
      </c>
      <c r="G1408" s="4" t="inlineStr">
        <is>
          <t>Keres egy asztali mikrofont, amely kiváló hangminőséget és professzionális megjelenést kínál? A SAL M 11 asztali mikrofon elektret kondenzátoros kialakításával, kardioid iránykarakterisztikájával és sokoldalú csatlakozási lehetőségeivel ideális választás konferenciákra, stúdiómunkára vagy előadásokra. A modern dizájn és a megbízható teljesítmény egyaránt garantált.
Precíziós hangzás kardioid iránykarakterisztikával
A mikrofon kardioid iránykarakterisztikája kiemeli a hangforrást, miközben hatékonyan csökkenti a nem kívánt háttérzajokat. Ez különösen előnyös konferenciatermekben, irodai környezetben vagy professzionális hangosítás során. A 80–18.000 Hz közötti frekvenciatartomány biztosítja, hogy minden hangrészlet tisztán és természetesen szólaljon meg.
Masszív kialakítás és praktikus funkciók
A SAL M 11 mikrofon masszív, fém XLR csatlakozódugóval rendelkezik, amely megbízható kapcsolatot és hosszú élettartamot biztosít. A mikrofon talapzatába épített LED visszajelző és világító fénygyűrű egyértelmű vizuális információt nyújt a mikrofon aktuális állapotáról. A be/ki kapcsoló a talpon található, ami egyszerűvé és kényelmessé teszi a használatot.
Rugalmas tápellátási lehetőségek
A SAL M 11 mikrofon kétféle tápellátást kínál: használható 9 V-os elemmel (6LR61, nem tartozék) vagy +48 V-os fantomtáppal. Ez a sokoldalúság biztosítja, hogy a mikrofon számos különböző hangosító rendszerrel kompatibilis legyen, megőrizve a stabil teljesítményt minden helyzetben.
Tartozékok és egyszerű telepítés
A mikrofonhoz egy 5 méteres XLR-Ø6,3 mm audio csatlakozókábel és egy eltávolítható zajszűrő szivacs is tartozik, amely további rugalmasságot és kényelmet biztosít. A 12,5 x 15 x 49 cm-es méret és a 610 g-os súly praktikus használatot tesz lehetővé, miközben elegáns és professzionális megjelenést kölcsönöz.
Válassza a SAL M 11 asztali mikrofont, hogy mindig a legjobb hangminőséget és professzionális megjelenést biztosítsa konferenciáin, előadásain vagy stúdiómunkái során – az innováció és megbízhatóság tökéletes kombinációja!</t>
        </is>
      </c>
    </row>
    <row r="1409">
      <c r="A1409" s="3" t="inlineStr">
        <is>
          <t>M 41</t>
        </is>
      </c>
      <c r="B1409" s="2" t="inlineStr">
        <is>
          <t>SAL M 41 kézi mikrofon, kardioid iránykarakterisztika, dinamikus mikrofon</t>
        </is>
      </c>
      <c r="C1409" s="1" t="n">
        <v>2290.0</v>
      </c>
      <c r="D1409" s="7" t="n">
        <f>HYPERLINK("https://www.somogyi.hu/product/sal-m-41-kezi-mikrofon-kardioid-iranykarakterisztika-dinamikus-mikrofon-m-41-14995","https://www.somogyi.hu/product/sal-m-41-kezi-mikrofon-kardioid-iranykarakterisztika-dinamikus-mikrofon-m-41-14995")</f>
        <v>0.0</v>
      </c>
      <c r="E1409" s="7" t="n">
        <f>HYPERLINK("https://www.somogyi.hu/data/img/product_main_images/small/14995.jpg","https://www.somogyi.hu/data/img/product_main_images/small/14995.jpg")</f>
        <v>0.0</v>
      </c>
      <c r="F1409" s="2" t="inlineStr">
        <is>
          <t>5999084930295</t>
        </is>
      </c>
      <c r="G1409" s="4" t="inlineStr">
        <is>
          <t>Olyan mikrofont keres, amely megbízható és könnyen használható általános hangosítási célokra? A SAL M 41 kézi dinamikus mikrofon kardioid iránykarakterisztikájával és kompakt kialakításával ideális választás élő előadásokra, prezentációkra vagy akár szabadidős használatra. Könnyű és praktikus megoldás minden hangosítási feladathoz.
Kiegyensúlyozott hangzás kardioid iránykarakterisztikával
A mikrofon kardioid iránykarakterisztikája lehetővé teszi, hogy a hangforrás mindig fókuszban maradjon, miközben minimalizálja a nem kívánt háttérzajokat. Ez különösen hasznos zajos környezetben vagy élő előadások során. A 100–12.500 Hz közötti frekvenciatartomány biztosítja, hogy a beszéd és az ének egyaránt tisztán és érthetően szólaljon meg.
Könnyű és kényelmes használat
A SAL M 41 mikrofon kis súlyának és ergonomikus műanyag markolatának köszönhetően hosszabb használat során is kényelmesen tartható. A be/ki kapcsoló a markolatban található, amely gyors és egyszerű vezérlést tesz lehetővé. A hajlékony, 1,8 méteres csatlakozókábel biztosítja a kellő mozgásszabadságot, miközben a Ø6,3 mm-es csatlakozódugó kompatibilitást kínál számos eszközzel.
Strapabíró kialakítás és egyszerű integráció
A mikrofon 600 Ohm impedanciája stabil és megbízható működést garantál, míg kompakt mérete (Ø53 / 31 x 170 mm) és strapabíró anyaga hosszú élettartamot biztosít. Ideális választás minden olyan helyzetben, ahol fontos a könnyű kezelhetőség és a megbízható teljesítmény.
Válassza a SAL M 41 kézi mikrofont, ha tiszta és megbízható hangzást szeretne egy könnyen kezelhető és praktikus eszköz formájában – tökéletes megoldás a hétköznapi és professzionális igényekhez is!</t>
        </is>
      </c>
    </row>
    <row r="1410">
      <c r="A1410" s="6" t="inlineStr">
        <is>
          <t xml:space="preserve">   Hangtechnika / Vezeték nélküli mikrofon</t>
        </is>
      </c>
      <c r="B1410" s="6" t="inlineStr">
        <is>
          <t/>
        </is>
      </c>
      <c r="C1410" s="6" t="inlineStr">
        <is>
          <t/>
        </is>
      </c>
      <c r="D1410" s="6" t="inlineStr">
        <is>
          <t/>
        </is>
      </c>
      <c r="E1410" s="6" t="inlineStr">
        <is>
          <t/>
        </is>
      </c>
      <c r="F1410" s="6" t="inlineStr">
        <is>
          <t/>
        </is>
      </c>
      <c r="G1410" s="6" t="inlineStr">
        <is>
          <t/>
        </is>
      </c>
    </row>
    <row r="1411">
      <c r="A1411" s="3" t="inlineStr">
        <is>
          <t>MVN 300</t>
        </is>
      </c>
      <c r="B1411" s="2" t="inlineStr">
        <is>
          <t>SAL MVN 300 vezeték nélküli mikrofonszett, digitális zajszűrés, 20 csatorna, ~40 m hatótáv, UHF frekvenciasáv</t>
        </is>
      </c>
      <c r="C1411" s="1" t="n">
        <v>18290.0</v>
      </c>
      <c r="D1411" s="7" t="n">
        <f>HYPERLINK("https://www.somogyi.hu/product/sal-mvn-300-vezetek-nelkuli-mikrofonszett-digitalis-zajszures-20-csatorna-40-m-hatotav-uhf-frekvenciasav-mvn-300-17168","https://www.somogyi.hu/product/sal-mvn-300-vezetek-nelkuli-mikrofonszett-digitalis-zajszures-20-csatorna-40-m-hatotav-uhf-frekvenciasav-mvn-300-17168")</f>
        <v>0.0</v>
      </c>
      <c r="E1411" s="7" t="n">
        <f>HYPERLINK("https://www.somogyi.hu/data/img/product_main_images/small/17168.jpg","https://www.somogyi.hu/data/img/product_main_images/small/17168.jpg")</f>
        <v>0.0</v>
      </c>
      <c r="F1411" s="2" t="inlineStr">
        <is>
          <t>5999084952006</t>
        </is>
      </c>
      <c r="G1411" s="4" t="inlineStr">
        <is>
          <t>Szüksége van egy megbízható, vezeték nélküli mikrofonszettre, amely tiszta hangzást és egyszerű kezelhetőséget biztosít? A SAL MVN 300 vezeték nélküli mikrofonszett tökéletes választás, ha professzionális minőségű hangosításra van szüksége rendezvényeken, előadásokon vagy szórakoztató műsorokon. A modern technológia és a kompakt kialakítás együttesen garantálja a kifogástalan teljesítményt.
Tiszta hangzás digitális zajszűrő technológiával
A SAL MVN 300 mikrofonszett digitális zajszűrő áramkörrel rendelkezik, amely minimalizálja a háttérzajokat, így minden szó kristálytisztán hallható marad. A 50–18.000 Hz közötti frekvenciaátvitel széles skálán biztosítja a természetes és részletgazdag hangzást, amely ideális választás beszédhez és zenei előadásokhoz is. A &gt;120 dB dinamikatartomány garantálja, hogy a hangok még változatos hangerő mellett is torzításmentesen szólaljanak meg.
Kompakt és könnyen használható kialakítás
A mikrofon masszív fémháza strapabíró és kényelmes fogást biztosít. A markolaton található multifunkciós digitális kijelző megjeleníti a frekvenciát, a csatornát és az elem állapotát, így minden fontos információ egy pillantással elérhető. Az automatikus párosítás gyors és egyszerű kapcsolatot biztosít a mikrofon és a vevőegység között. A vevőegység közvetlenül az erősítőbe csatlakoztatható a beépített Ø6,3 mm-es dugó segítségével.
Hatékony energiafelhasználás és széleskörű kompatibilitás
A mikrofon két AA elemmel működik (nem tartozék), míg a vevőegység beépített 500 mAh Li-Ion akkumulátorral rendelkezik, amely ~6 órás üzemidőt biztosít egyetlen töltéssel. Az USB–microUSB töltőkábel lehetővé teszi a folyamatos töltést, így megszakítás nélkül használható hosszabb rendezvények alatt is. A 550–565,2 MHz-es működési frekvenciasáv biztosítja a stabil jelátvitelt, akár 40 méteres hatótávolságig nyílt terepen.
Tartozékok a csomagban
1 db vezeték nélküli mikrofon
1 db vevőegység
USB–microUSB töltőkábel (~1,0 m)
Válassza a SAL MVN 300 vezeték nélküli mikrofonszettet, hogy mindig tiszta és megbízható hangminőséget érjen el – ideális választás bármilyen rendezvényre vagy előadásra!</t>
        </is>
      </c>
    </row>
    <row r="1412">
      <c r="A1412" s="3" t="inlineStr">
        <is>
          <t>MVN 910</t>
        </is>
      </c>
      <c r="B1412" s="2" t="inlineStr">
        <is>
          <t>SAL MVN 910 vezeték nélküli mikrofonszett, digitális zajszűrés, 2x100 csatorna, ~140 m hatótáv, UHF frekvenciasáv, rack kompatibilis</t>
        </is>
      </c>
      <c r="C1412" s="1" t="n">
        <v>73190.0</v>
      </c>
      <c r="D1412" s="7" t="n">
        <f>HYPERLINK("https://www.somogyi.hu/product/sal-mvn-910-vezetek-nelkuli-mikrofonszett-digitalis-zajszures-2x100-csatorna-140-m-hatotav-uhf-frekvenciasav-rack-kompatibilis-mvn-910-17304","https://www.somogyi.hu/product/sal-mvn-910-vezetek-nelkuli-mikrofonszett-digitalis-zajszures-2x100-csatorna-140-m-hatotav-uhf-frekvenciasav-rack-kompatibilis-mvn-910-17304")</f>
        <v>0.0</v>
      </c>
      <c r="E1412" s="7" t="n">
        <f>HYPERLINK("https://www.somogyi.hu/data/img/product_main_images/small/17304.jpg","https://www.somogyi.hu/data/img/product_main_images/small/17304.jpg")</f>
        <v>0.0</v>
      </c>
      <c r="F1412" s="2" t="inlineStr">
        <is>
          <t>5999084953263</t>
        </is>
      </c>
      <c r="G1412" s="4" t="inlineStr">
        <is>
          <t>Szeretne egy olyan mikrofont, amely nemcsak kiváló hangminőséget biztosít, de minden technikai igényt kielégít? A SAL MVN 910 vezeték nélküli mikrofonszett a professzionális hangosítás élvonalát képviseli, innovatív digitális zajszűrésével, 140 méteres hatótávolságával és sokoldalú csatlakozási lehetőségeivel.
Kiemelkedő teljesítmény és tiszta hangzás
Ez a mikrofonszett UHF frekvenciasávon működik (518–690 MHz), amely biztosítja a stabil jelátvitelt és a zavarmentes működést. A digitális zajszűrő áramkör minimálisra csökkenti a nem kívánt interferenciát, így a hang mindig tisztán és természetesen szólal meg. A 50–18.000 Hz közötti frekvenciatartomány kiváló hangvisszaadást garantál, legyen szó beszédről vagy zenei előadásról. A &gt;120 dB dinamikatartomány pedig lehetővé teszi, hogy a legfinomabb hangrészletek is hallhatóak legyenek.
Sokoldalú csatlakozási lehetőségek
A vevőegység 2 darab szimmetrikus XLR audio kimenettel, valamint egy 6,3 mm-es összegzett audio kimenettel rendelkezik, így kompatibilis a legtöbb hangosító rendszerrel. A nagynyereségű BNC antennák erős és megbízható rádiójelet biztosítanak, amely nyílt terepen akár 140 méter távolságig is működőképes. A rendszer maximális kimeneti teljesítménye &lt;10 mW, amely hatékony működést garantál alacsony energiafelhasználás mellett.
Praktikus kialakítás és egyszerű használat
A kézi mikrofonok masszív fémházzal készültek, amelyek nemcsak strapabíróak, de kényelmes fogást is biztosítanak. A multifunkciós digitális kijelző könnyen leolvasható adatokat mutat, beleértve a frekvenciát, a csatornát, az elem állapotát, valamint az RF és AF jelszinteket. Az automatikus vagy kézi csatornaválasztás lehetővé teszi, hogy a felhasználó mindig a legjobb frekvenciát használja, miközben az infravörös párosítás gyors és egyszerű csatlakozást biztosít.
Rugalmasság és tartozékok
A mikrofonszett rack szekrénybe is beépíthető, így ideális választás stúdiókba vagy nagyobb rendezvényekhez. A tartozékok között található egy hálózati adapter, egy Ø6,3 mm-es audio csatlakozókábel, szerelvények és színjelölő gyűrűk, amelyek megkönnyítik a használatot. A kézi mikrofonok 2 darab AA elemmel működnek (nem tartozék), míg a vevőegység 230 V~ hálózati árammal üzemel.
Válassza a SAL MVN 910 vezeték nélküli mikrofonszettet, hogy minden rendezvényen kiemelkedő hangzást biztosíthasson – professzionális minőség, innováció és megbízhatóság egyetlen csomagban!</t>
        </is>
      </c>
    </row>
    <row r="1413">
      <c r="A1413" s="3" t="inlineStr">
        <is>
          <t>MVN 600</t>
        </is>
      </c>
      <c r="B1413" s="2" t="inlineStr">
        <is>
          <t>SAL MVN 600 vezeték nélküli mikrofonszett, digitális zajszűrés, 2x30 csatorna, ~80 m hatótáv, UHF frekvenciasáv</t>
        </is>
      </c>
      <c r="C1413" s="1" t="n">
        <v>45790.0</v>
      </c>
      <c r="D1413" s="7" t="n">
        <f>HYPERLINK("https://www.somogyi.hu/product/sal-mvn-600-vezetek-nelkuli-mikrofonszett-digitalis-zajszures-2x30-csatorna-80-m-hatotav-uhf-frekvenciasav-mvn-600-17170","https://www.somogyi.hu/product/sal-mvn-600-vezetek-nelkuli-mikrofonszett-digitalis-zajszures-2x30-csatorna-80-m-hatotav-uhf-frekvenciasav-mvn-600-17170")</f>
        <v>0.0</v>
      </c>
      <c r="E1413" s="7" t="n">
        <f>HYPERLINK("https://www.somogyi.hu/data/img/product_main_images/small/17170.jpg","https://www.somogyi.hu/data/img/product_main_images/small/17170.jpg")</f>
        <v>0.0</v>
      </c>
      <c r="F1413" s="2" t="inlineStr">
        <is>
          <t>5999084952020</t>
        </is>
      </c>
      <c r="G1413" s="4" t="inlineStr">
        <is>
          <t>Olyan vezeték nélküli mikrofonszettet keres, amely garantáltan tiszta hangzást és zökkenőmentes működést biztosít? A SAL MVN 600 mikrofonszett professzionális megoldást kínál előadásokhoz, koncertekhez vagy konferenciákhoz, akár 80 méteres hatótávolsággal, digitális zajszűréssel és sokoldalú csatlakozási lehetőségekkel.
Tiszta és természetes hangzás minden körülmények között
A SAL MVN 600 mikrofonszett digitális zajszűrő áramkörrel rendelkezik, amely hatékonyan minimalizálja a háttérzajokat, így a hang mindig éles és tiszta marad. A 50–18.000 Hz közötti frekvenciaátvitel kiváló hangminőséget garantál, míg a &gt;105 dB-es dinamikatartomány lehetővé teszi a pontos és részletgazdag hangvisszaadást. Az alacsony, &lt;0,5% THD érték biztosítja a torzításmentes működést, még nagyobb hangerő esetén is.
Fejlett technológia és könnyű használat
A mikrofonokon található multifunkciós digitális kijelző megjeleníti a frekvenciát, csatornát és az elem állapotát, így az összes szükséges információ könnyen elérhető. Az AF audio jelszintmérő segíti a beállítások finomhangolását, míg a 2x30 kiválasztható csatorna biztosítja a zavarmentes működést, még zsúfolt rádiófrekvenciás környezetben is. A gyors vezeték nélküli párosítás és a zajmentes be- és kikapcsolási funkciók egyszerű és kényelmes használatot biztosítanak.
Sokoldalú csatlakozási lehetőségek
A vevőegység két szimmetrikus XLR audio kimenettel, valamint egy 6,3 mm-es összegzett audio kimenettel rendelkezik, így kompatibilis a legtöbb hangosító rendszerrel. A mikrofonok 2xAA elemmel működnek (nem tartozék), míg a vevőegységet hálózati adapterrel táplálják, biztosítva a hosszú üzemidőt és a megbízható működést.
Robusztus és kényelmes kialakítás
A mikrofonok masszív fémházzal rendelkeznek, amelyek tartósak és kényelmes fogást biztosítanak. A vevőegység kompakt mérete (210 x 50 x 180 mm) lehetővé teszi az egyszerű telepítést és szállítást, miközben a készülék teljesítménye minden elvárásnak megfelel.
Tartozékok
2 db kézi mikrofon
Vevőegység
Hálózati adapter
6,3 mm-es audio csatlakozókábel
Válassza a SAL MVN 600 vezeték nélküli mikrofonszettet, hogy minden előadásán a legjobb hangminőséget élvezhesse – megbízható teljesítmény, professzionális funkcionalitás és egyszerű használat egyetlen csomagban!</t>
        </is>
      </c>
    </row>
    <row r="1414">
      <c r="A1414" s="6" t="inlineStr">
        <is>
          <t xml:space="preserve">   Hangtechnika / Fejhallgató, fülhallgató</t>
        </is>
      </c>
      <c r="B1414" s="6" t="inlineStr">
        <is>
          <t/>
        </is>
      </c>
      <c r="C1414" s="6" t="inlineStr">
        <is>
          <t/>
        </is>
      </c>
      <c r="D1414" s="6" t="inlineStr">
        <is>
          <t/>
        </is>
      </c>
      <c r="E1414" s="6" t="inlineStr">
        <is>
          <t/>
        </is>
      </c>
      <c r="F1414" s="6" t="inlineStr">
        <is>
          <t/>
        </is>
      </c>
      <c r="G1414" s="6" t="inlineStr">
        <is>
          <t/>
        </is>
      </c>
    </row>
    <row r="1415">
      <c r="A1415" s="3" t="inlineStr">
        <is>
          <t>TWS 1/SL</t>
        </is>
      </c>
      <c r="B1415" s="2" t="inlineStr">
        <is>
          <t>SAL TWS 1/SL vezeték nélküli fülhallgató, Bluetooth 5.0 true wireless technológia, dokkoló, sztereó</t>
        </is>
      </c>
      <c r="C1415" s="1" t="n">
        <v>7190.0</v>
      </c>
      <c r="D1415" s="7" t="n">
        <f>HYPERLINK("https://www.somogyi.hu/product/sal-tws-1-sl-vezetek-nelkuli-fulhallgato-bluetooth-5-0-true-wireless-technologia-dokkolo-sztereo-tws-1-sl-16700","https://www.somogyi.hu/product/sal-tws-1-sl-vezetek-nelkuli-fulhallgato-bluetooth-5-0-true-wireless-technologia-dokkolo-sztereo-tws-1-sl-16700")</f>
        <v>0.0</v>
      </c>
      <c r="E1415" s="7" t="n">
        <f>HYPERLINK("https://www.somogyi.hu/data/img/product_main_images/small/16700.jpg","https://www.somogyi.hu/data/img/product_main_images/small/16700.jpg")</f>
        <v>0.0</v>
      </c>
      <c r="F1415" s="2" t="inlineStr">
        <is>
          <t>5999084947323</t>
        </is>
      </c>
      <c r="G1415" s="4" t="inlineStr">
        <is>
          <t>Milyen élmény lehet a teljes szabadságot biztosító, vezeték nélküli zenehallgatás és telefonálás kompromisszumok nélkül? A SAL TWS 1/SL vezeték nélküli fülhallgató a Bluetooth 5.0 True Wireless technológiának köszönhetően egyedülálló kényelmet és kiváló hangminőséget kínál, amely tökéletes választás mindennapi használatra.
Fejlett technológia és kényelmes használat
A Bluetooth 5.0 True Wireless technológia garantálja a stabil, gyors csatlakozást és az alacsony energiafogyasztást. Az ultra könnyű, mindössze 4 grammos fülhallgatók kényelmes viseletet biztosítanak hosszabb időn át is, így ideálisak zenehallgatáshoz, podcastokhoz vagy telefonbeszélgetésekhez. A vezeték nélküli kapcsolattal a fülhallgatók akár 10 méteres hatótávolságban is megbízhatóan működnek.
Kiemelkedő hangzás és funkciók
A 20–20.000 Hz közötti frekvenciaátvitellel és 104 dB érzékenységgel a SAL TWS 1/SL fülhallgatók tiszta, részletgazdag hangzást biztosítanak, amely a zenehallgatás valódi élményét nyújtja. A beépített érzékeny mikrofonok lehetővé teszik a telefonhívások kezelését a telefon érintése nélkül – hívásfogadás, elutasítás, és hívószám tárcsázása egyaránt lehetséges. A műsorszámok léptetése és a funkciók távvezérlése tovább növeli a kényelmet.
Praktikus dokkoló állomás a maximális üzemidőért
A kompakt dokkoló állomás akár háromszor is feltölti a fülhallgatókat, összesen 7,5 órányi üzemidőt biztosítva. Az egy töltéssel elérhető üzemidő 2,5 óra, míg a dokkoló feltöltési ideje mindössze 1,7 óra. Az USB-microUSB töltőkábel (0,25 m) tartozék, így a töltés mindig kényelmesen megoldható.
Kompakt kialakítás és tartós teljesítmény
A fülhallgatók 34 Ohm impedanciával és 2 x 50 mW teljesítménnyel működnek, biztosítva a kiváló hangminőséget. A fehér szín elegáns megjelenést kölcsönöz a készüléknek, amely méretéből adódóan (42 x 55 x 24 mm) könnyedén elfér akár a zsebében is. A készülék teljes tömege mindössze 37 gramm, így utazások során sem jelent terhet.
Válassza a SAL TWS 1/SL vezeték nélküli fülhallgatót, és élvezze a kompromisszumok nélküli szabadságot, kényelmet és hangminőséget minden pillanatban!</t>
        </is>
      </c>
    </row>
    <row r="1416">
      <c r="A1416" s="3" t="inlineStr">
        <is>
          <t>SABT 31</t>
        </is>
      </c>
      <c r="B1416" s="2" t="inlineStr">
        <is>
          <t>SAL SABT 31 fülhallgató autós töltővel, 3 in 1, monó headset, 3,1 A gyorstöltő, ~2 óra üzemidő</t>
        </is>
      </c>
      <c r="C1416" s="1" t="n">
        <v>2890.0</v>
      </c>
      <c r="D1416" s="7" t="n">
        <f>HYPERLINK("https://www.somogyi.hu/product/sal-sabt-31-fulhallgato-autos-toltovel-3-in-1-mono-headset-3-1-a-gyorstolto-2-ora-uzemido-sabt-31-17127","https://www.somogyi.hu/product/sal-sabt-31-fulhallgato-autos-toltovel-3-in-1-mono-headset-3-1-a-gyorstolto-2-ora-uzemido-sabt-31-17127")</f>
        <v>0.0</v>
      </c>
      <c r="E1416" s="7" t="n">
        <f>HYPERLINK("https://www.somogyi.hu/data/img/product_main_images/small/17127.jpg","https://www.somogyi.hu/data/img/product_main_images/small/17127.jpg")</f>
        <v>0.0</v>
      </c>
      <c r="F1416" s="2" t="inlineStr">
        <is>
          <t>5999084951597</t>
        </is>
      </c>
      <c r="G1416" s="4" t="inlineStr">
        <is>
          <t>Milyen eszköz lehet egyszerre praktikus autós töltő, kényelmes headset és stílusos kiegészítő? A SAL SABT 31 fülhallgató autós töltővel mindhárom funkciót egyesíti, hogy egyszerre biztosítson kényelmet, hatékonyságot és modern technológiát, legyen szó telefonhívásokról, zenehallgatásról vagy mobilkészüléke gyors feltöltéséről.
Multifunkcionális kialakítás: 3 az 1-ben megoldás
Ez az eszköz mono headsetet, USB gyorstöltőt és szivargyújtó aljzatot egyesít egyetlen kompakt kialakításban. Az ultra könnyű, mindössze 4 grammos headset kényelmesen illeszkedik a jobb fülbe, és vezeték nélküli Bluetooth kapcsolattal működik, akár 10 méteres hatótávolságban. A headset automatikusan töltődik és csatlakozik az eszközökhöz, így soha nem kell aggódnia az akkumulátor miatt. Az automatikus újracsatlakozás és a beépített mikrofon lehetővé teszi a hívások fogadását és kezelését anélkül, hogy a telefont kézbe venné.
Kiváló funkcionalitás és teljesítmény
A SAL SABT 31 nemcsak telefonhívások kezelésére, hanem zenehallgatásra is alkalmas. A fülhallgató 20–20.000 Hz közötti frekvenciaátvitellel és 96 dB érzékenységgel tiszta, részletgazdag hangzást biztosít. A beépített mikrofon lehetővé teszi a hívások egyszerű fogadását, elutasítását és hívószám tárcsázását. Emellett az eszköz támogatja a műsorszámok léptetését és a távvezérlést, így teljes kontrollt biztosít a felhasználónak. Az angol nyelvű hívószám bemondása további kényelmi funkciót jelent.
Gyors és hatékony töltés minden helyzetben
Az USB gyorstöltő 3,1 A maximális teljesítményt biztosít, amely alkalmas okostelefonok, tabletek és más eszközök gyors feltöltésére. A szivargyújtó aljzat 10 A maximális áramerősséget biztosít, így további eszközöket is csatlakoztathat, például navigációs rendszert vagy dashcam-et. Az eszköz 12–24 V-os járművekben is használható, ami univerzális kompatibilitást jelent személyautók és teherjárművek esetében is.
Praktikus és stílusos megoldás
A fehér színű, elegáns kialakítású SAL SABT 31 fülhallgató autós töltővel nemcsak praktikus, de esztétikus kiegészítője is lehet autójának. Az automatikus töltés és a folyamatos kapcsolat garantálja, hogy mindig kéznél legyen, amikor szükség van rá.
Válassza a SAL SABT 31-et, és élvezze a vezeték nélküli szabadságot, a gyors töltést és a kristálytiszta hangminőséget egyetlen innovatív eszközzel!</t>
        </is>
      </c>
    </row>
    <row r="1417">
      <c r="A1417" s="6" t="inlineStr">
        <is>
          <t xml:space="preserve">   Hangtechnika / Hangszóróvezeték</t>
        </is>
      </c>
      <c r="B1417" s="6" t="inlineStr">
        <is>
          <t/>
        </is>
      </c>
      <c r="C1417" s="6" t="inlineStr">
        <is>
          <t/>
        </is>
      </c>
      <c r="D1417" s="6" t="inlineStr">
        <is>
          <t/>
        </is>
      </c>
      <c r="E1417" s="6" t="inlineStr">
        <is>
          <t/>
        </is>
      </c>
      <c r="F1417" s="6" t="inlineStr">
        <is>
          <t/>
        </is>
      </c>
      <c r="G1417" s="6" t="inlineStr">
        <is>
          <t/>
        </is>
      </c>
    </row>
    <row r="1418">
      <c r="A1418" s="3" t="inlineStr">
        <is>
          <t>KL 0,5-10X</t>
        </is>
      </c>
      <c r="B1418" s="2" t="inlineStr">
        <is>
          <t>SAL KL 0,5-10X hangszóróvezeték, piros-fekete, 2C x (64 x 0,10 mm), 0,1 mm-es elemi szál, 10m</t>
        </is>
      </c>
      <c r="C1418" s="1" t="n">
        <v>1090.0</v>
      </c>
      <c r="D1418" s="7" t="n">
        <f>HYPERLINK("https://www.somogyi.hu/product/sal-kl-0-5-10x-hangszorovezetek-piros-fekete-2c-x-64-x-0-10-mm-0-1-mm-es-elemi-szal-10m-kl-0-5-10x-2307","https://www.somogyi.hu/product/sal-kl-0-5-10x-hangszorovezetek-piros-fekete-2c-x-64-x-0-10-mm-0-1-mm-es-elemi-szal-10m-kl-0-5-10x-2307")</f>
        <v>0.0</v>
      </c>
      <c r="E1418" s="7" t="n">
        <f>HYPERLINK("https://www.somogyi.hu/data/img/product_main_images/small/02307.jpg","https://www.somogyi.hu/data/img/product_main_images/small/02307.jpg")</f>
        <v>0.0</v>
      </c>
      <c r="F1418" s="2" t="inlineStr">
        <is>
          <t>5998312725740</t>
        </is>
      </c>
      <c r="G1418" s="4" t="inlineStr">
        <is>
          <t>Hogyan válasszon megbízható hangszórókábelt kis méretű projektekhez? A SAL KL 0,5-10X hangszóróvezeték tökéletes választás, ha rövidebb távra, kiváló minőségű és egyszerűen kezelhető kábelt keres.
Megbízható anyaghasználat a hosszú távú teljesítményért
Ez a hangszóróvezeték rézbevonatú alumíniumból készült, amely könnyedén kombinálja a réz kiváló vezetőképességét az alumínium könnyűségével. A 2C x (64 x 0,10 mm) elemi szálak stabil és torzításmentes jelátvitelt biztosítanak, így kiváló hangminőséget érhet el.
Kompakt kialakítás, könnyű telepítés
A kábel mérete 4,4 x 2,2 mm, ami ideális választás szűk helyeken történő telepítéshez. A rugalmas szigetelés megkönnyíti a kábelvezetést, miközben védi a belső vezetőket a külső sérülésektől. A piros-fekete színkódolás megkönnyíti a polaritás azonosítását, ezzel is gyorsítva a szerelési folyamatot.
Rugalmas felhasználási lehetőségek
A 10 méteres tekercs elegendő kisebb hangszórórendszerekhez vagy egyedi telepítési igényekhez, például házimozi-rendszerek, hordozható hangszórók, vagy beltéri audioprojektek esetén. A bliszteres csomagolásnak köszönhetően a kábel könnyen tárolható és szállítható, így mindig kéznél van, amikor szüksége van rá.
Kiknek ajánljuk a SAL KL 0,5-10X hangszóróvezetéket?
Ez a vezeték ideális választás mindazok számára, akik megbízható, könnyen használható kábelt keresnek kisebb hangrendszerekhez. Akár otthoni használatra, akár egyedi audioprojektekhez, ez a kábel tökéletesen megfelel az elvárásoknak.
Válassza a minőséget és a kényelmet!
Rendelje meg most a SAL KL 0,5-10X hangszórókábelt, és élvezze a tiszta, torzításmentes hangzást, amely garantálja, hogy zenei élménye a lehető legjobb legyen!</t>
        </is>
      </c>
    </row>
    <row r="1419">
      <c r="A1419" s="3" t="inlineStr">
        <is>
          <t>KL 0,75T</t>
        </is>
      </c>
      <c r="B1419" s="2" t="inlineStr">
        <is>
          <t>SAL KL 0,75T hangszóróvezeték, átlátszó, 2 x 0,75 mm2, 0,1 mm elemi szál, 100 m/ tekercs</t>
        </is>
      </c>
      <c r="C1419" s="1" t="n">
        <v>419.0</v>
      </c>
      <c r="D1419" s="7" t="n">
        <f>HYPERLINK("https://www.somogyi.hu/product/sal-kl-0-75t-hangszorovezetek-atlatszo-2-x-0-75-mm2-0-1-mm-elemi-szal-100-m-tekercs-kl-0-75t-1800","https://www.somogyi.hu/product/sal-kl-0-75t-hangszorovezetek-atlatszo-2-x-0-75-mm2-0-1-mm-elemi-szal-100-m-tekercs-kl-0-75t-1800")</f>
        <v>0.0</v>
      </c>
      <c r="E1419" s="7" t="n">
        <f>HYPERLINK("https://www.somogyi.hu/data/img/product_main_images/small/01800.jpg","https://www.somogyi.hu/data/img/product_main_images/small/01800.jpg")</f>
        <v>0.0</v>
      </c>
      <c r="F1419" s="2" t="inlineStr">
        <is>
          <t>5998312702871</t>
        </is>
      </c>
      <c r="G1419" s="4" t="inlineStr">
        <is>
          <t>Egy megbízható hangszóróvezetéket keres, amely biztosítja az optimális hangminőséget otthoni vagy professzionális felhasználásra? A SAL KL 0,75T átlátszó hangszóróvezeték ideális választás, ha kompromisszumok nélküli tiszta hangzást szeretne elérni.
Minőség és megbízhatóság minden szálban
Ez a hangszóróvezeték oxigénmentes tiszta réz elemi szálakból épül fel, amelyek kiváló vezetőképességet garantálnak. A kábel szerkezete 2C x (96 x 0,10 mm), ami biztosítja az egyenletes áram- és jelátvitelt. Az átlátszó szigetelés elegáns megjelenést kölcsönöz a vezetéknek, miközben lehetővé teszi a belső rézvezetők megtekintését.
Kiemelkedő specifikációk és felépítés
Kábelvastagság: A kábel keresztmetszete 2 x 0,75 mm², amely tökéletesen megfelel kisebb és közepes teljesítményű hangszórókhoz.
Méret: A kábel szélessége és magassága 4,6 x 2,3 mm, ami kompakt és könnyen telepíthető.
Elemi szálak átmérője: Ø 0,10 mm, amelyek precíz hangátvitelt biztosítanak, minimális torzítással.
Hossz: A 100 méteres tekercs bőséges mennyiséget kínál, így ideális akár nagyobb telepítésekhez is.
Sokoldalú felhasználás
Ez a hangszóróvezeték kiválóan alkalmazható otthoni HiFi rendszerekben, házimozirendszerekben, vagy akár professzionális hangosítási környezetekben. Az oxigénmentes réz vezetők hosszú távú megbízhatóságot és stabil hangminőséget biztosítanak. A kábel átlátszó szigetelése modern és elegáns megjelenést nyújt, amely tökéletesen illeszkedik bármilyen környezetbe.
Miért válassza a SAL KL 0,75T hangszórókábelt?
Ez a vezeték ideális választás, ha fontos Önnek a minőségi hangzás, a tartós anyaghasználat és a rugalmas felhasználhatóság. Az oxigénmentes réz belső szerkezet nemcsak megbízható jelátvitelt, hanem hosszan tartó teljesítményt is biztosít.
Emelje hangrendszerét új szintre!
Rendelje meg most a SAL KL 0,75T átlátszó hangszóróvezetéket, és élvezze a zene és hangzás minden részletét, ahogy azt megálmodták. Ez a vezeték a minőség, az elegancia és a funkcionalitás tökéletes kombinációját kínálja!</t>
        </is>
      </c>
    </row>
    <row r="1420">
      <c r="A1420" s="3" t="inlineStr">
        <is>
          <t>KL 2,5T-10X</t>
        </is>
      </c>
      <c r="B1420" s="2" t="inlineStr">
        <is>
          <t>SAL KL 2,5T-10X hangszóróvezeték, átlátszó, 2C x (7 x 45 x 0,10 mm), 0,1 mm-es elemi szálból, 10m</t>
        </is>
      </c>
      <c r="C1420" s="1" t="n">
        <v>4290.0</v>
      </c>
      <c r="D1420" s="7" t="n">
        <f>HYPERLINK("https://www.somogyi.hu/product/sal-kl-2-5t-10x-hangszorovezetek-atlatszo-2c-x-7-x-45-x-0-10-mm-0-1-mm-es-elemi-szalbol-10m-kl-2-5t-10x-2955","https://www.somogyi.hu/product/sal-kl-2-5t-10x-hangszorovezetek-atlatszo-2c-x-7-x-45-x-0-10-mm-0-1-mm-es-elemi-szalbol-10m-kl-2-5t-10x-2955")</f>
        <v>0.0</v>
      </c>
      <c r="E1420" s="7" t="n">
        <f>HYPERLINK("https://www.somogyi.hu/data/img/product_main_images/small/02955.jpg","https://www.somogyi.hu/data/img/product_main_images/small/02955.jpg")</f>
        <v>0.0</v>
      </c>
      <c r="F1420" s="2" t="inlineStr">
        <is>
          <t>5998312732793</t>
        </is>
      </c>
      <c r="G1420" s="4" t="inlineStr">
        <is>
          <t>Kiváló minőségű hangszórókábelt keres, amely erőteljes hangátvitelt biztosít kisebb projektekhez? A SAL KL 2,5T-10X átlátszó hangszóróvezeték ideális választás, ha fontos Önnek a tartós anyaghasználat és a megbízható teljesítmény.
Professzionális anyaghasználat és felépítés
Ez a kábel rézbevonatú alumíniumból készült, amely kiválóan ötvözi a tartósságot és a gazdaságosságot, miközben kiváló minőségű jelátvitelt garantál. A 2C x (7 x 45 x 0,10 mm) felépítés precíz vezetést biztosít, minimalizálva az ellenállást és megőrizve a hangminőséget.
Praktikus méretek és sokoldalúság
A kábel 7,6 x 3,8 mm-es mérete elegendő rugalmasságot biztosít a könnyű telepítéshez, miközben kiváló stabilitást nyújt. A 10 méteres hosszúság ideális kisebb hangrendszerek, például házimozik, hordozható hangszórók vagy rendezvények esetében. Az átlátszó szigetelés modern megjelenést kölcsönöz, és egyszerűvé teszi a kábelek rendezését.
Megbízható teljesítmény és tartós kialakítás
Az 0,1 mm-es elemi szálak pontos és zavartalan hangátvitelt biztosítanak, míg a transzparens szigetelés extra védelmet nyújt a külső behatások ellen. A kábel bliszteres csomagolásban érkezik, amely megkönnyíti a tárolást és biztosítja a sérülésmentes szállítást.
Ideális választás otthoni és professzionális használatra
A SAL KL 2,5T-10X hangszóróvezeték könnyű kezelhetőséget és prémium hangátvitelt nyújt, ami ideálissá teszi különféle hangrendszerekhez. Akár otthoni házimozihoz, akár hordozható hangszórókhoz keres kábelt, ez a termék tökéletes megoldást kínál.
Válassza a minőséget és a megbízhatóságot!
Ne érje be kevesebbel a hangrendszere teljesítményében. Rendelje meg a SAL KL 2,5T-10X hangszóróvezetéket még ma, és élvezze a kristálytiszta hangzást és a könnyű telepítést minden alkalommal!</t>
        </is>
      </c>
    </row>
    <row r="1421">
      <c r="A1421" s="3" t="inlineStr">
        <is>
          <t>KL 0,75</t>
        </is>
      </c>
      <c r="B1421" s="2" t="inlineStr">
        <is>
          <t>SAL KL 0,75 hangszóróvezeték, piros-fekete, 2 x 0,75 mm2, 0,1 mm elemi szál, 100 m/ tekercs</t>
        </is>
      </c>
      <c r="C1421" s="1" t="n">
        <v>419.0</v>
      </c>
      <c r="D1421" s="7" t="n">
        <f>HYPERLINK("https://www.somogyi.hu/product/sal-kl-0-75-hangszorovezetek-piros-fekete-2-x-0-75-mm2-0-1-mm-elemi-szal-100-m-tekercs-kl-0-75-2818","https://www.somogyi.hu/product/sal-kl-0-75-hangszorovezetek-piros-fekete-2-x-0-75-mm2-0-1-mm-elemi-szal-100-m-tekercs-kl-0-75-2818")</f>
        <v>0.0</v>
      </c>
      <c r="E1421" s="7" t="n">
        <f>HYPERLINK("https://www.somogyi.hu/data/img/product_main_images/small/02818.jpg","https://www.somogyi.hu/data/img/product_main_images/small/02818.jpg")</f>
        <v>0.0</v>
      </c>
      <c r="F1421" s="2" t="inlineStr">
        <is>
          <t>5998312731420</t>
        </is>
      </c>
      <c r="G1421" s="4" t="inlineStr">
        <is>
          <t>Kiváló minőségű hangátvitelre van szüksége, amely hosszú távon is megbízható? A SAL KL 0,75 hangszóróvezeték tökéletes választás minden olyan projekt számára, ahol a kristálytiszta hangzás és a strapabíróság alapkövetelmény. A 2 x 0,75 mm² keresztmetszetű kábel prémium anyagokból készült, hogy Ön a legjobb teljesítményt érhesse el.
Prémium anyaghasználat és kialakítás
A vezeték oxigénmentes tiszta réz elemi szálakból épül fel, amelyek átmérője 0,10 mm. Ez a speciális anyaghasználat garantálja a tökéletes jelátvitelt, minimális veszteséggel és maximális tisztasággal. A 2C x (96 x 0,10 mm) felépítés biztosítja, hogy a kábel mindkét oldala egyformán strapabíró és megbízható legyen, ideális választás otthoni és professzionális audio rendszerekhez egyaránt.
Kompakt és könnyen kezelhető formatervezés
A kábel méretei, 4,6 x 2,3 mm, lehetővé teszik a könnyű telepítést még a szűkebb helyeken is. A piros-fekete színű szigetelés nemcsak praktikus a polaritás gyors azonosításához, hanem erős védelmet is nyújt a kábel számára, hogy ellenálljon a mindennapi használat során fellépő sérüléseknek.
Sokoldalú felhasználási lehetőségek
Ez a 100 méteres tekercs ideális választás nagyobb projektekhez, legyen szó otthoni hangszóró-telepítésről, színpadi hangosításról vagy professzionális stúdiómunkáról. Az oxigénmentes réz belső szerkezete nemcsak a tiszta hangminőséget biztosítja, hanem hosszú élettartamot is garantál.
Válassza a SAL KL 0,75 hangszóróvezetéket, és élvezze a tiszta, zavartalan hangzást minden helyzetben! Ne hagyja, hogy a vezeték legyen a hangzás gyenge pontja – szerezze be ezt a professzionális kábelmegoldást, és emelje hangrendszere minőségét a következő szintre!</t>
        </is>
      </c>
    </row>
    <row r="1422">
      <c r="A1422" s="3" t="inlineStr">
        <is>
          <t>KL 1</t>
        </is>
      </c>
      <c r="B1422" s="2" t="inlineStr">
        <is>
          <t>SAL KL 1 hangszóróvezeték, piros-fekete, 2 x 1 mm2, 0,1 mm elemi szál, 100 m/ tekercs</t>
        </is>
      </c>
      <c r="C1422" s="1" t="n">
        <v>529.0</v>
      </c>
      <c r="D1422" s="7" t="n">
        <f>HYPERLINK("https://www.somogyi.hu/product/sal-kl-1-hangszorovezetek-piros-fekete-2-x-1-mm2-0-1-mm-elemi-szal-100-m-tekercs-kl-1-2819","https://www.somogyi.hu/product/sal-kl-1-hangszorovezetek-piros-fekete-2-x-1-mm2-0-1-mm-elemi-szal-100-m-tekercs-kl-1-2819")</f>
        <v>0.0</v>
      </c>
      <c r="E1422" s="7" t="n">
        <f>HYPERLINK("https://www.somogyi.hu/data/img/product_main_images/small/02819.jpg","https://www.somogyi.hu/data/img/product_main_images/small/02819.jpg")</f>
        <v>0.0</v>
      </c>
      <c r="F1422" s="2" t="inlineStr">
        <is>
          <t>5998312731437</t>
        </is>
      </c>
      <c r="G1422" s="4" t="inlineStr">
        <is>
          <t>A tökéletes hangszóróvezetéket keresi, amely megbízható és kompromisszummentes teljesítményt nyújt? A SAL KL 1 hangszóróvezeték ideális választás, ha kiváló minőségű és tartós kábelezést szeretne bármilyen hangrendszerhez. Az oxigénmentes rézből készült elemi szálak garantálják a tiszta, zavartalan jelátvitelt, legyen szó otthoni, stúdió- vagy professzionális felhasználásról.
Prémium anyagok a maximális teljesítményért
A SAL KL 1 hangszóróvezeték 2 x 1 mm² keresztmetszetű kábelekkel készült, amelyekben 0,1 mm átmérőjű, oxigénmentes rézből készült elemi szálak találhatók. Ez a precíz anyaghasználat minimalizálja a jelveszteséget, és biztosítja a kiváló hangminőséget, amely különösen fontos zenei projektek vagy professzionális hangrendszerek esetén. A réz természetes vezetőképessége és tartóssága hozzájárul ahhoz, hogy a kábel megbízható teljesítményt nyújtson hosszú távon is.
Kompakt és strapabíró kialakítás
A vezeték 6,0 x 3,0 mm mérete tökéletes választás bármilyen rendszerhez, könnyen telepíthető, miközben elég robusztus a különböző környezetekhez. A piros-fekete szigetelés nemcsak vizuálisan segít a kábel polaritásának gyors azonosításában, hanem erős védelmet is nyújt a külső hatásokkal szemben, így hosszabb élettartamot biztosít.
Gazdaságos és sokoldalú megoldás
A 100 méteres tekercs lehetővé teszi, hogy bármilyen projektet könnyedén megvalósítson, akár otthoni hangszórókábelezésről, akár komplex rendszerek kiépítéséről van szó. A gondosan kialakított kábelstruktúra és az oxigénmentes réz garantálja, hogy minden méter egyforma minőségű és teljesítményű legyen.
Fedezze fel a SAL KL 1 hangszóróvezeték kivételes tulajdonságait, és élvezze a tökéletes hangzást minden helyzetben! Ideális választás zenei rajongók, professzionális felhasználók és audiofil rendszerek számára egyaránt. Ne hagyja ki ezt a kiváló lehetőséget, tegye tökéletessé a hangzást még ma!</t>
        </is>
      </c>
    </row>
    <row r="1423">
      <c r="A1423" s="3" t="inlineStr">
        <is>
          <t>KL 1T</t>
        </is>
      </c>
      <c r="B1423" s="2" t="inlineStr">
        <is>
          <t>SAL KL 1T hangszóróvezeték, átlátszó, 2 x 1 mm2, 0,1 mm elemi szál, 100 m/ tekercs</t>
        </is>
      </c>
      <c r="C1423" s="1" t="n">
        <v>529.0</v>
      </c>
      <c r="D1423" s="7" t="n">
        <f>HYPERLINK("https://www.somogyi.hu/product/sal-kl-1t-hangszorovezetek-atlatszo-2-x-1-mm2-0-1-mm-elemi-szal-100-m-tekercs-kl-1t-2522","https://www.somogyi.hu/product/sal-kl-1t-hangszorovezetek-atlatszo-2-x-1-mm2-0-1-mm-elemi-szal-100-m-tekercs-kl-1t-2522")</f>
        <v>0.0</v>
      </c>
      <c r="E1423" s="7" t="n">
        <f>HYPERLINK("https://www.somogyi.hu/data/img/product_main_images/small/02522.jpg","https://www.somogyi.hu/data/img/product_main_images/small/02522.jpg")</f>
        <v>0.0</v>
      </c>
      <c r="F1423" s="2" t="inlineStr">
        <is>
          <t>5998312728345</t>
        </is>
      </c>
      <c r="G1423" s="4" t="inlineStr">
        <is>
          <t>Hogyan érheti el a tökéletes hangminőséget hangrendszerében? A SAL KL 1T átlátszó hangszóróvezeték ideális választás mindazok számára, akik kristálytiszta hangzást és megbízható teljesítményt keresnek.
Prémium anyaghasználat és tartósság
Ez a hangszóróvezeték oxigénmentes tiszta rézből készült, amely garantálja az optimális jelátvitelt és minimalizálja az elektromos ellenállást. A kábel felépítése 2C x (127 x 0,10 mm) elemi szálakból áll, amelyek biztosítják a folyamatos és stabil működést. Az átlátszó szigetelés nemcsak elegáns megjelenést biztosít, hanem könnyen azonosíthatóvá is teszi a kábel polaritását.
Specifikációk, amelyek tökéletessé teszik
Kábelvastagság: A keresztmetszet 2 x 1 mm², amely kiválóan alkalmas kis- és közepes teljesítményű rendszerekhez.
Kábel mérete: A szélesség és magasság 6 x 3 mm, így könnyen kezelhető és telepíthető.
Elemi szálak átmérője: Ø 0,10 mm, amelyek precíz hangátvitelt tesznek lehetővé.
Hossz: Egy tekercs 100 métert tartalmaz, amely elegendő nagyobb projektekhez is.
Sokoldalú felhasználási lehetőségek
Ez a vezeték tökéletes választás otthoni hangszórórendszerekhez, házimozirendszerekhez, vagy akár professzionális hangosítási feladatokhoz. Az oxigénmentes rézvezetők hosszú távon is megbízhatóak, miközben garantálják a torzításmentes, tiszta hangzást.
Modern megjelenés, precíz kialakítás
Az átlátszó szigetelés elegáns és diszkrét megjelenést kölcsönöz a vezetéknek, amely bármilyen környezetben esztétikus kiegészítőként szolgálhat. A strapabíró szigetelés védi a belső vezetőket a külső sérülésektől, miközben biztosítja a hosszú élettartamot.
Miért érdemes választani a SAL KL 1T hangszórókábelt?
Ez a kábel egyesíti a modern technológia előnyeit a megbízható anyaghasználattal, így ideális választás mindazok számára, akik kompromisszumok nélküli hangélményt szeretnének.
Emelje hangrendszerét új szintre!
Rendelje meg most a SAL KL 1T átlátszó hangszórókábelt, és élvezze a zene minden apró részletét! Ez a vezeték a minőség, a funkcionalitás és a tartósság tökéletes kombinációját kínálja, hogy minden hang úgy szólaljon meg, ahogy azt megálmodták.</t>
        </is>
      </c>
    </row>
    <row r="1424">
      <c r="A1424" s="3" t="inlineStr">
        <is>
          <t>KL 0,35-10X</t>
        </is>
      </c>
      <c r="B1424" s="2" t="inlineStr">
        <is>
          <t>SAL KL 0,35-10X hangszóróvezeték, piros-fekete, 2C x (45 x 0,10 mm), 0,1 mm-es elemi szálból, 10m</t>
        </is>
      </c>
      <c r="C1424" s="1" t="n">
        <v>919.0</v>
      </c>
      <c r="D1424" s="7" t="n">
        <f>HYPERLINK("https://www.somogyi.hu/product/sal-kl-0-35-10x-hangszorovezetek-piros-fekete-2c-x-45-x-0-10-mm-0-1-mm-es-elemi-szalbol-10m-kl-0-35-10x-2306","https://www.somogyi.hu/product/sal-kl-0-35-10x-hangszorovezetek-piros-fekete-2c-x-45-x-0-10-mm-0-1-mm-es-elemi-szalbol-10m-kl-0-35-10x-2306")</f>
        <v>0.0</v>
      </c>
      <c r="E1424" s="7" t="n">
        <f>HYPERLINK("https://www.somogyi.hu/data/img/product_main_images/small/02306.jpg","https://www.somogyi.hu/data/img/product_main_images/small/02306.jpg")</f>
        <v>0.0</v>
      </c>
      <c r="F1424" s="2" t="inlineStr">
        <is>
          <t>5998312725733</t>
        </is>
      </c>
      <c r="G1424" s="4" t="inlineStr">
        <is>
          <t>Kis projektekhez keres tökéletes hangszórókábelt? A SAL KL 0,35-10X hangszóróvezeték tökéletes választás, ha kompakt, mégis megbízható kábelre van szüksége a tiszta és zavartalan hangátvitel érdekében.
Kiemelkedő anyaghasználat és szerkezet
Ez a kábel rézbevonatú alumíniumból készült, amely ötvözi a könnyedséget és a tartósságot, miközben kiváló minőségű jelátvitelt biztosít. A 0,1 mm-es elemi szálakból épül fel, amelyeket 2C x (45 x 0,10 mm) felépítés jellemez, így garantálva a megbízhatóságot és az alacsony ellenállást.
Praktikus méret és könnyű használat
A vezeték 4 x 2 mm-es mérete lehetővé teszi a helytakarékos telepítést, míg a piros-fekete színű szigetelésmegkönnyíti a polaritás gyors azonosítását. Ez a színkódolás különösen hasznos, ha több vezetéket kell egyszerre csatlakoztatni, és minimalizálja a hibázás lehetőségét.
Ideális hosszúság és sokoldalúság
A 10 méteres hosszúság ideális kisebb hangrendszerekhez, otthoni vagy ideiglenes alkalmazásokhoz, például házimozi rendszerekhez, hordozható hangszórókhoz vagy kisebb rendezvényekhez. A bliszteres csomagolás nemcsak praktikus, hanem megvédi a kábelt a külső sérülésektől és könnyen tárolhatóvá teszi.
Tökéletes választás kisebb projektekhez
A SAL KL 0,35-10X hangszóróvezeték könnyen kezelhető és rendkívül sokoldalú. Kiváló választás mindennapi használatra, ahol a tiszta hangzás elengedhetetlen, és a megbízható kapcsolat alapvető követelmény.
Válassza a megbízhatóságot és a minőséget!
Ne érje be kevesebbel, ha a hangrendszeréről van szó. Rendelje meg a SAL KL 0,35-10X hangszóróvezetéket, és élvezze a könnyű használatot, a tartós anyagokat és a megbízható teljesítményt minden alkalommal!</t>
        </is>
      </c>
    </row>
    <row r="1425">
      <c r="A1425" s="3" t="inlineStr">
        <is>
          <t>KL 0,5</t>
        </is>
      </c>
      <c r="B1425" s="2" t="inlineStr">
        <is>
          <t>SAL KL 0,5 hangszóróvezeték, piros-fekete, 2 x 0,5 mm2, 0,1 mm elemi szál, 100 m/ tekercs</t>
        </is>
      </c>
      <c r="C1425" s="1" t="n">
        <v>279.0</v>
      </c>
      <c r="D1425" s="7" t="n">
        <f>HYPERLINK("https://www.somogyi.hu/product/sal-kl-0-5-hangszorovezetek-piros-fekete-2-x-0-5-mm2-0-1-mm-elemi-szal-100-m-tekercs-kl-0-5-1799","https://www.somogyi.hu/product/sal-kl-0-5-hangszorovezetek-piros-fekete-2-x-0-5-mm2-0-1-mm-elemi-szal-100-m-tekercs-kl-0-5-1799")</f>
        <v>0.0</v>
      </c>
      <c r="E1425" s="7" t="n">
        <f>HYPERLINK("https://www.somogyi.hu/data/img/product_main_images/small/01799.jpg","https://www.somogyi.hu/data/img/product_main_images/small/01799.jpg")</f>
        <v>0.0</v>
      </c>
      <c r="F1425" s="2" t="inlineStr">
        <is>
          <t>5998312702857</t>
        </is>
      </c>
      <c r="G1425" s="4" t="inlineStr">
        <is>
          <t>Szüksége van megbízható és kiváló minőségű hangszóróvezetékre, amely minden zenei részletet tisztán továbbít?A SAL KL 0,5 hangszóróvezeték tökéletes választás, ha a legjobb hangminőséget szeretné elérni. Kiemelkedő tulajdonságai, mint az oxigénmentes rézből készült elemi szálak és a strapabíró kialakítás, garantálják a megbízható teljesítményt bármilyen hangrendszerben.
Kiemelkedő anyagminőség és precíz kialakítás
A SAL KL 0,5 vezeték kiváló minőségű, oxigénmentes tiszta rézből készült, amely minimalizálja a jelveszteséget, így tökéletes zenei élményt nyújt. A 2 x 0,5 mm² keresztmetszetű vezetékben 0,10 mm átmérőjű elemi szálak találhatók, amelyek kiváló vezetőképességet biztosítanak. Ez a gondosan megtervezett felépítés hozzájárul a zene tiszta és részletgazdag megszólalásához.
Kompakt, mégis erőteljes kialakítás
A kábel 4,4 x 2,2 mm-es mérete ideális bármilyen hangrendszerhez, legyen szó otthoni vagy professzionális alkalmazásról. A piros és fekete szigetelés nemcsak az egyszerű azonosítást teszi lehetővé, hanem extra védelmet is nyújt a kábel számára. A strapabíró szigetelés megvédi a belső szálakat a sérülésektől, így a vezeték hosszú távon is kiváló teljesítményt nyújt.
Gazdaságos megoldás hosszabb távra
A 100 méteres tekercs biztosítja, hogy elegendő vezetéket kapjon bármilyen projektjéhez, legyen az hangfalak csatlakoztatása, stúdiófelszerelés kábelezése vagy akár nagyobb rendszerek telepítése. A precíz kábelkialakítás és az oxigénmentes réz anyag garantálja, hogy minden méter egyforma minőséget képviseljen.
Válassza a SAL KL 0,5 hangszóróvezetéket, és élvezze a kiváló hangminőséget és megbízható teljesítményt minden zenei projektjében! Az oxigénmentes réz biztosítja a precíz hangátvitelt, a strapabíró szigetelés pedig hosszú távú használatot tesz lehetővé. Ne habozzon, tegyen szert a tökéletes vezetékmegoldásra most!</t>
        </is>
      </c>
    </row>
    <row r="1426">
      <c r="A1426" s="3" t="inlineStr">
        <is>
          <t>KLS 1,5T</t>
        </is>
      </c>
      <c r="B1426" s="2" t="inlineStr">
        <is>
          <t>SAL KLS 1,5T hangszóróvezeték, átlátszó, 2 x 1,5 mm2, 0,15 mm elemi szál, 100 m/ tekercs</t>
        </is>
      </c>
      <c r="C1426" s="1" t="n">
        <v>219.0</v>
      </c>
      <c r="D1426" s="7" t="n">
        <f>HYPERLINK("https://www.somogyi.hu/product/sal-kls-1-5t-hangszorovezetek-atlatszo-2-x-1-5-mm2-0-15-mm-elemi-szal-100-m-tekercs-kls-1-5t-6576","https://www.somogyi.hu/product/sal-kls-1-5t-hangszorovezetek-atlatszo-2-x-1-5-mm2-0-15-mm-elemi-szal-100-m-tekercs-kls-1-5t-6576")</f>
        <v>0.0</v>
      </c>
      <c r="E1426" s="7" t="n">
        <f>HYPERLINK("https://www.somogyi.hu/data/img/product_main_images/small/06576.jpg","https://www.somogyi.hu/data/img/product_main_images/small/06576.jpg")</f>
        <v>0.0</v>
      </c>
      <c r="F1426" s="2" t="inlineStr">
        <is>
          <t>5998312756157</t>
        </is>
      </c>
      <c r="G1426" s="4" t="inlineStr">
        <is>
          <t>Szüksége van egy megbízható és kiváló minőségű hangszóróvezetékre, amely biztosítja a tiszta hangzást? A SAL KLS 1,5T hangszóróvezeték ideális megoldás, ha tökéletes hangátvitelre vágyik.
Ez a 2 x 1,5 mm² keresztmetszetű átlátszó hangszóróvezeték kétvezetékes 2C x (85 x 0,15 mm), amely garantálja a kiváló minőségű hangátvitelt. A vezeték 7,0 x 3,5 mm méretű, és 0,15 mm-es rézbevonatú alumínium elemi szálakból áll, amely kiváló vezetőképességet és tartósságot biztosít. A SAL KLS 1,5T hangszóróvezeték 100 méteres tekercsben kapható, ami bőséges mennyiséget biztosít nagyobb projektekhez is.
Ne hagyja ki ezt a lehetőséget, válassza a SAL KLS 1,5T hangszóróvezetéket, és élvezze a kristálytiszta hangzást minden zeneszámnál!</t>
        </is>
      </c>
    </row>
    <row r="1427">
      <c r="A1427" s="3" t="inlineStr">
        <is>
          <t>KL 1,5-10X</t>
        </is>
      </c>
      <c r="B1427" s="2" t="inlineStr">
        <is>
          <t>SAL KL 1,5-10X hangszóróvezeték, piros-fekete, 2C x (7x 27 x 0,10 mm), 0,1 mm-es elemi szálból, 10m</t>
        </is>
      </c>
      <c r="C1427" s="1" t="n">
        <v>2290.0</v>
      </c>
      <c r="D1427" s="7" t="n">
        <f>HYPERLINK("https://www.somogyi.hu/product/sal-kl-1-5-10x-hangszorovezetek-piros-fekete-2c-x-7x-27-x-0-10-mm-0-1-mm-es-elemi-szalbol-10m-kl-1-5-10x-2867","https://www.somogyi.hu/product/sal-kl-1-5-10x-hangszorovezetek-piros-fekete-2c-x-7x-27-x-0-10-mm-0-1-mm-es-elemi-szalbol-10m-kl-1-5-10x-2867")</f>
        <v>0.0</v>
      </c>
      <c r="E1427" s="7" t="n">
        <f>HYPERLINK("https://www.somogyi.hu/data/img/product_main_images/small/02867.jpg","https://www.somogyi.hu/data/img/product_main_images/small/02867.jpg")</f>
        <v>0.0</v>
      </c>
      <c r="F1427" s="2" t="inlineStr">
        <is>
          <t>5998312731918</t>
        </is>
      </c>
      <c r="G1427" s="4" t="inlineStr">
        <is>
          <t>Egy tartós és megbízható hangszóróvezeték rövid projektekhez? A SAL KL 1,5-10X hangszóróvezeték ideális választás kisebb hangrendszerekhez, amelyekben a tiszta hangzás és a könnyű kezelhetőség kulcsfontosságú.
Kiváló anyaghasználat és tartós kialakítás
Ez a hangszóróvezeték rézbevonatú alumíniumból készült, amely biztosítja a megbízható teljesítményt és a stabil jelátvitelt. A 2C x (7 x 27 x 0,10 mm) felépítés és a 0,1 mm-es elemi szálak pontosan illeszkednek, minimalizálva a veszteséget, miközben erőteljes, tiszta hangzást nyújtanak.
Praktikus méretek és színkódolt szigetelés
A vezeték 6 x 3 mm-es mérete lehetővé teszi a könnyű elhelyezést még szűk helyeken is. A piros-fekete szigetelésnemcsak esztétikus, hanem megkönnyíti a polaritás gyors azonosítását, így elkerülhetők a csatlakoztatási hibák. Az anyagok tartósságát a bliszteres csomagolás tovább fokozza, amely megóvja a kábelt a külső sérülésektől.
Optimális hosszúság és felhasználási lehetőségek
A 10 méteres hosszúság tökéletes választás kisebb hangrendszerekhez, például házimozi- vagy hordozható eszközökhöz. Ez a méret praktikus megoldást kínál, amikor nincs szükség hosszabb vezetékre, és a kábel precíz tárolása is egyszerűbbé válik.
Többcélú felhasználás
Ez a hangszóróvezeték tökéletes választás otthoni hangrendszerekhez, kisebb rendezvényekhez vagy ideiglenes telepítésekhez, ahol a tiszta hangminőség elengedhetetlen. A rézbevonatú alumínium elemi szálak és a tartós szigetelés garantálják, hogy a termék hosszú távon is megőrizze kiváló teljesítményét.
Rendelje meg most, és élvezze a tökéletes hangzást!
Ne hagyja ki a lehetőséget, hogy rendszeréhez egy megbízható, tartós és könnyen kezelhető kábelt szerezzen be. A SAL KL 1,5-10X hangszóróvezeték ideális választás, ha kiemelkedő teljesítményt szeretne elérni minden alkalommal. Rendeljen még ma, és fedezze fel a különbséget!</t>
        </is>
      </c>
    </row>
    <row r="1428">
      <c r="A1428" s="3" t="inlineStr">
        <is>
          <t>KLS 1T</t>
        </is>
      </c>
      <c r="B1428" s="2" t="inlineStr">
        <is>
          <t>SAL KLS 1T hangszóróvezeték, átlátszó, 2 x 1 mm2, 0,15 mm elemi szál, 100 m/ tekercs</t>
        </is>
      </c>
      <c r="C1428" s="1" t="n">
        <v>169.0</v>
      </c>
      <c r="D1428" s="7" t="n">
        <f>HYPERLINK("https://www.somogyi.hu/product/sal-kls-1t-hangszorovezetek-atlatszo-2-x-1-mm2-0-15-mm-elemi-szal-100-m-tekercs-kls-1t-6575","https://www.somogyi.hu/product/sal-kls-1t-hangszorovezetek-atlatszo-2-x-1-mm2-0-15-mm-elemi-szal-100-m-tekercs-kls-1t-6575")</f>
        <v>0.0</v>
      </c>
      <c r="E1428" s="7" t="n">
        <f>HYPERLINK("https://www.somogyi.hu/data/img/product_main_images/small/06575.jpg","https://www.somogyi.hu/data/img/product_main_images/small/06575.jpg")</f>
        <v>0.0</v>
      </c>
      <c r="F1428" s="2" t="inlineStr">
        <is>
          <t>5998312756140</t>
        </is>
      </c>
      <c r="G1428" s="4" t="inlineStr">
        <is>
          <t>Szüksége van egy megbízható és kiváló minőségű hangszóróvezetékre, amely biztosítja a tiszta hangzást? A SAL KLS 1T hangszóróvezeték ideális megoldás, ha tökéletes hangátvitelre vágyik.
Ez a 2 x 1,0 mm² keresztmetszetű átlátszó hangszóróvezeték kétvezetékes 2C x (57 x 0,15 mm), amely garantálja a kiváló minőségű hangátvitelt. A vezeték 6,0 x 3,0 mm méretű, és 0,15 mm-es rézbevonatú alumínium elemi szálakból áll, amely kiváló vezetőképességet és tartósságot biztosít. A SAL KLS 1T hangszóróvezeték 100 méteres tekercsben kapható, ami bőséges mennyiséget biztosít nagyobb projektekhez is. 
Ne hagyja ki ezt a lehetőséget, válassza a SAL KLS 1T hangszóróvezetéket, és élvezze a kristálytiszta hangzást minden zeneszámnál!</t>
        </is>
      </c>
    </row>
    <row r="1429">
      <c r="A1429" s="3" t="inlineStr">
        <is>
          <t>KL 1,5T</t>
        </is>
      </c>
      <c r="B1429" s="2" t="inlineStr">
        <is>
          <t>SAL KL 1,5T hangszóróvezeték, átlátszó, 2 x 1,5 mm2, 0,1 mm elemi szál, 100 m/ tekercs</t>
        </is>
      </c>
      <c r="C1429" s="1" t="n">
        <v>789.0</v>
      </c>
      <c r="D1429" s="7" t="n">
        <f>HYPERLINK("https://www.somogyi.hu/product/sal-kl-1-5t-hangszorovezetek-atlatszo-2-x-1-5-mm2-0-1-mm-elemi-szal-100-m-tekercs-kl-1-5t-2039","https://www.somogyi.hu/product/sal-kl-1-5t-hangszorovezetek-atlatszo-2-x-1-5-mm2-0-1-mm-elemi-szal-100-m-tekercs-kl-1-5t-2039")</f>
        <v>0.0</v>
      </c>
      <c r="E1429" s="7" t="n">
        <f>HYPERLINK("https://www.somogyi.hu/data/img/product_main_images/small/02039.jpg","https://www.somogyi.hu/data/img/product_main_images/small/02039.jpg")</f>
        <v>0.0</v>
      </c>
      <c r="F1429" s="2" t="inlineStr">
        <is>
          <t>5998312722329</t>
        </is>
      </c>
      <c r="G1429" s="4" t="inlineStr">
        <is>
          <t>Hogyan biztosíthatja a kristálytiszta hangzást nagyobb teljesítményű rendszerekben? A SAL KL 1,5T hangszóróvezeték optimális választás minden olyan hangrendszerhez, ahol a megbízható jelátvitel és a magas minőség alapvető elvárás. Ez a kábel ötvözi az átlátszó, modern megjelenést a kiváló műszaki paraméterekkel, így tökéletesen illeszkedik mind otthoni, mind professzionális felhasználáshoz.
Kiemelkedő anyagminőség és megbízhatóság
A SAL KL 1,5T vezeték oxigénmentes tiszta rézből készült, amely garantálja a zavarmentes jelátvitelt és a hosszú távú tartósságot. A kábel 2 x 1,5 mm² keresztmetszetű, amely ideális a nagyobb teljesítményű hangszórók számára. Az elemi szálak átmérője mindössze 0,1 mm, így a kábel rendkívül rugalmas, ugyanakkor megbízhatóan teljesít még intenzív igénybevétel esetén is.
Könnyű telepítés és modern megjelenés
A kábel átlátszó szigetelése nemcsak esztétikus, hanem segít a precíz telepítésben is, mivel azonnal láthatóvá teszi a vezetékek pontos elhelyezkedését. A kábel 7 x 27 x 0,10 mm-es szerkezetével és 7 x 3,5 mm szélesség x magasság méretével könnyen illeszkedik szűkebb helyekre is, miközben biztosítja a megfelelő vastagságot a stabil teljesítményhez.
Válassza a SAL KL 1,5T hangszóróvezetéket, hogy élvezhesse a tiszta és részletgazdag hangzást! Ideális megoldás otthoni sztereó rendszerekhez, házimozihoz, valamint professzionális hangtechnikai alkalmazásokhoz. Rendelje meg most, és tapasztalja meg a kompromisszummentes minőség nyújtotta előnyöket!</t>
        </is>
      </c>
    </row>
    <row r="1430">
      <c r="A1430" s="3" t="inlineStr">
        <is>
          <t>KLS 6T</t>
        </is>
      </c>
      <c r="B1430" s="2" t="inlineStr">
        <is>
          <t>SAL KLS 6T hangszóróvezeték, átlátszó, 2 x 6 mm2, 0,15 mm elemi szál, 25 m/ tekercs</t>
        </is>
      </c>
      <c r="C1430" s="1" t="n">
        <v>789.0</v>
      </c>
      <c r="D1430" s="7" t="n">
        <f>HYPERLINK("https://www.somogyi.hu/product/sal-kls-6t-hangszorovezetek-atlatszo-2-x-6-mm2-0-15-mm-elemi-szal-25-m-tekercs-kls-6t-6579","https://www.somogyi.hu/product/sal-kls-6t-hangszorovezetek-atlatszo-2-x-6-mm2-0-15-mm-elemi-szal-25-m-tekercs-kls-6t-6579")</f>
        <v>0.0</v>
      </c>
      <c r="E1430" s="7" t="n">
        <f>HYPERLINK("https://www.somogyi.hu/data/img/product_main_images/small/06579.jpg","https://www.somogyi.hu/data/img/product_main_images/small/06579.jpg")</f>
        <v>0.0</v>
      </c>
      <c r="F1430" s="2" t="inlineStr">
        <is>
          <t>5998312756188</t>
        </is>
      </c>
      <c r="G1430" s="4" t="inlineStr">
        <is>
          <t>Szüksége van egy megbízható és kiváló minőségű hangszóróvezetékre, amely biztosítja a tiszta hangzást? A SAL KLS 6T hangszóróvezeték ideális megoldás, ha tökéletes hangátvitelre vágyik.
Ez a 2 x 6 mm² keresztmetszetű átlátszó hangszóróvezeték kétvezetékes 2C x (7 x 49 x 0,15 mm), amely garantálja a kiváló minőségű hangátvitelt. A vezeték 12,0 x 6,0 mm méretű, és 0,15 mm-es rézbevonatú alumínium elemi szálakból áll, amely kiváló vezetőképességet és tartósságot biztosít. A SAL KLS 6T hangszóróvezeték 25 méteres tekercsben kapható, ami bőséges mennyiséget biztosít nagyobb projektekhez is.
Ne hagyja ki ezt a lehetőséget, válassza a SAL KLS 6T hangszóróvezetéket, és élvezze a kristálytiszta hangzást minden zeneszámnál!</t>
        </is>
      </c>
    </row>
    <row r="1431">
      <c r="A1431" s="3" t="inlineStr">
        <is>
          <t>KLS 4T</t>
        </is>
      </c>
      <c r="B1431" s="2" t="inlineStr">
        <is>
          <t>SAL KLS 4T hangszóróvezeték, átlátszó, 2 x 4 mm2, 0,15 mm elemi szál, 50 m/ tekercs</t>
        </is>
      </c>
      <c r="C1431" s="1" t="n">
        <v>649.0</v>
      </c>
      <c r="D1431" s="7" t="n">
        <f>HYPERLINK("https://www.somogyi.hu/product/sal-kls-4t-hangszorovezetek-atlatszo-2-x-4-mm2-0-15-mm-elemi-szal-50-m-tekercs-kls-4t-6578","https://www.somogyi.hu/product/sal-kls-4t-hangszorovezetek-atlatszo-2-x-4-mm2-0-15-mm-elemi-szal-50-m-tekercs-kls-4t-6578")</f>
        <v>0.0</v>
      </c>
      <c r="E1431" s="7" t="n">
        <f>HYPERLINK("https://www.somogyi.hu/data/img/product_main_images/small/06578.jpg","https://www.somogyi.hu/data/img/product_main_images/small/06578.jpg")</f>
        <v>0.0</v>
      </c>
      <c r="F1431" s="2" t="inlineStr">
        <is>
          <t>5998312756171</t>
        </is>
      </c>
      <c r="G1431" s="4" t="inlineStr">
        <is>
          <t>Szüksége van egy megbízható és kiváló minőségű hangszóróvezetékre, amely biztosítja a tiszta hangzást? A SAL KLS 4T hangszóróvezeték ideális megoldás, ha tökéletes hangátvitelre vágyik.
Ez a 2 x 4 mm² keresztmetszetű átlátszó hangszóróvezeték kétvezetékes 2C x (7 x 33 x 0,15 mm), amely garantálja a kiváló minőségű hangátvitelt. A vezeték 8,8 x 4,4 mm méretű, és 0,15 mm-es rézbevonatú alumínium elemi szálakból áll, amely kiváló vezetőképességet és tartósságot biztosít. A SAL KLS 4T hangszóróvezeték 50 méteres tekercsben kapható, ami bőséges mennyiséget biztosít nagyobb projektekhez is.
Ne hagyja ki ezt a lehetőséget, válassza a SAL KLS 4T hangszóróvezetéket, és élvezze a kristálytiszta hangzást minden zeneszámnál!</t>
        </is>
      </c>
    </row>
    <row r="1432">
      <c r="A1432" s="3" t="inlineStr">
        <is>
          <t>KL 0,75T-10X</t>
        </is>
      </c>
      <c r="B1432" s="2" t="inlineStr">
        <is>
          <t>SAL KL 0,75T-10X hangszóróvezeték, átlátszó, 2C x (96 x 0,10 mm), 0,1 mm-es elemi szálból, 10m</t>
        </is>
      </c>
      <c r="C1432" s="1" t="n">
        <v>1450.0</v>
      </c>
      <c r="D1432" s="7" t="n">
        <f>HYPERLINK("https://www.somogyi.hu/product/sal-kl-0-75t-10x-hangszorovezetek-atlatszo-2c-x-96-x-0-10-mm-0-1-mm-es-elemi-szalbol-10m-kl-0-75t-10x-2308","https://www.somogyi.hu/product/sal-kl-0-75t-10x-hangszorovezetek-atlatszo-2c-x-96-x-0-10-mm-0-1-mm-es-elemi-szalbol-10m-kl-0-75t-10x-2308")</f>
        <v>0.0</v>
      </c>
      <c r="E1432" s="7" t="n">
        <f>HYPERLINK("https://www.somogyi.hu/data/img/product_main_images/small/02308.jpg","https://www.somogyi.hu/data/img/product_main_images/small/02308.jpg")</f>
        <v>0.0</v>
      </c>
      <c r="F1432" s="2" t="inlineStr">
        <is>
          <t>5998312725757</t>
        </is>
      </c>
      <c r="G1432" s="4" t="inlineStr">
        <is>
          <t>Hogyan hozhatja ki a legtöbbet hangrendszeréből, miközben biztosítja a megbízható jelátvitelt? A SAL KL 0,75T-10X átlátszó hangszóróvezeték a tökéletes választás mindazok számára, akik praktikus, tartós és esztétikus kábelt keresnek otthoni vagy professzionális felhasználásra.
Megbízhatóság és prémium teljesítmény egy kábelben
Ez a 2C x (96 x 0,10 mm) kábelkonstrukció 0,1 mm-es elemi szálakkal rendelkezik, melyeket rézbevonatú alumíniumból készítettek a kiváló vezetőképesség érdekében. A 10 méteres tekercs lehetőséget nyújt kisebb és közepes méretű projektekhez, legyen szó házimozi rendszer kialakításáról vagy kisebb rendezvények hangosításáról.
Esztétika és funkcionalitás ötvözete
Az átlátszó szigetelés nemcsak modern megjelenést biztosít, hanem lehetővé teszi a vezeték könnyű integrálását bármilyen környezetbe. A kábel 4,6 x 2,3 mm-es méretei optimális rugalmasságot és stabilitást kínálnak, hogy egyszerűen elhelyezhető legyen szűk helyeken is.
Praktikus csomagolás a maximális kényelemért
A termék bliszteres csomagolása nemcsak védi a kábelt, hanem lehetővé teszi a kényelmes tárolást és szállítást is. A 10 méteres hosszúság ideális kisebb projektekhez, miközben fenntartja a magas színvonalú hangminőséget.
Ideális megoldás minden hangrendszerhez
Legyen szó zenei élmények fokozásáról otthonában, vagy professzionális hangosítási feladatokról, a SAL KL 0,75T-10X kábel megbízható és hatékony választás. Kiváló anyagminőségének és modern megjelenésének köszönhetően ez a kábel garantáltan megfelel az elvárásoknak.
Válassza a tökéletes hangzást!
Ne érje be kevesebbel, amikor hangrendszere teljesítményéről van szó! Rendelje meg a SAL KL 0,75T-10X hangszóróvezetéket még ma, és élvezze a kompromisszumok nélküli hangminőséget!</t>
        </is>
      </c>
    </row>
    <row r="1433">
      <c r="A1433" s="3" t="inlineStr">
        <is>
          <t>KL 0,35-20X</t>
        </is>
      </c>
      <c r="B1433" s="2" t="inlineStr">
        <is>
          <t>SAL KL 0,35-20X hangszóróvezeték, piros-fekete, 2C x (45 x 0,10 mm), 0,1 mm-es elemi szál, 20m</t>
        </is>
      </c>
      <c r="C1433" s="1" t="n">
        <v>1750.0</v>
      </c>
      <c r="D1433" s="7" t="n">
        <f>HYPERLINK("https://www.somogyi.hu/product/sal-kl-0-35-20x-hangszorovezetek-piros-fekete-2c-x-45-x-0-10-mm-0-1-mm-es-elemi-szal-20m-kl-0-35-20x-2943","https://www.somogyi.hu/product/sal-kl-0-35-20x-hangszorovezetek-piros-fekete-2c-x-45-x-0-10-mm-0-1-mm-es-elemi-szal-20m-kl-0-35-20x-2943")</f>
        <v>0.0</v>
      </c>
      <c r="E1433" s="7" t="n">
        <f>HYPERLINK("https://www.somogyi.hu/data/img/product_main_images/small/02943.jpg","https://www.somogyi.hu/data/img/product_main_images/small/02943.jpg")</f>
        <v>0.0</v>
      </c>
      <c r="F1433" s="2" t="inlineStr">
        <is>
          <t>5998312732670</t>
        </is>
      </c>
      <c r="G1433" s="4" t="inlineStr">
        <is>
          <t>Egy kompakt, mégis megbízható hangszórókábelt keres kisebb projektekhez vagy ideiglenes megoldásokhoz? A SAL KL 0,35-20X hangszóróvezeték ideális választás, amely ötvözi a praktikus hosszúságot és a megfelelő teljesítményt a tiszta hangátvitel érdekében.
Minőség és megbízhatóság
Ez a vezeték rézbevonatú alumíniumból készült, amely biztosítja a stabil jelátvitelt, miközben költséghatékony megoldást kínál. A 2C x (45 x 0,10 mm) felépítésű elemi szálak finom kidolgozása megbízható kapcsolatot biztosít, csökkentve a jelveszteséget, így kiváló hangminőséget nyújt.
Könnyű telepítés és felhasználás
A kábel 4,0 x 2,0 mm-es mérete tökéletesen megfelel a szűkebb telepítési környezetekhez, miközben megőrzi rugalmasságát a könnyebb szerelés érdekében. A piros-fekete színű szigetelés segít a polaritás egyszerű azonosításában, így gyorsan és pontosan végezheti el a csatlakoztatást. A 20 méteres tekercs optimális hosszúságot kínál kisebb projektekhez, például otthoni audioeszközök telepítéséhez.
Praktikus csomagolás és tartósság
A bliszteres csomagolás nemcsak esztétikus, hanem kényelmes tárolást is biztosít, megóvva a kábelt a külső sérülésektől, amíg nem használja. Az oxigénmentes rézbevonat és a strapabíró szigetelés hosszú távon is ellenáll a kopásnak és a külső környezeti hatásoknak.
Ideális választás számos alkalmazási területen
Legyen szó házimozi-rendszer telepítéséről, hordozható hangszórók csatlakoztatásáról vagy más audioprojektről, ez a vezeték egyszerű, mégis hatékony megoldást kínál. Az optimális hosszúság és a megbízható anyaghasználat garantálja a problémamentes telepítést és az állandó teljesítményt.
Ne várjon tovább a minőségi hangzásért!
Rendelje meg a SAL KL 0,35-20X hangszórókábelt még ma, és élvezze a tiszta, torzításmentes hangélményt otthonában vagy projektjeiben! Egy kis befektetéssel nagy különbséget érhet el hangminőségében.</t>
        </is>
      </c>
    </row>
    <row r="1434">
      <c r="A1434" s="3" t="inlineStr">
        <is>
          <t>KLS 0,5T</t>
        </is>
      </c>
      <c r="B1434" s="2" t="inlineStr">
        <is>
          <t>SAL KLS 0,5T hangszóróvezeték, átlátszó, 2 x 0,5 mm2, 0,15 mm elemi szál, 100 m/ tekercs</t>
        </is>
      </c>
      <c r="C1434" s="1" t="n">
        <v>109.0</v>
      </c>
      <c r="D1434" s="7" t="n">
        <f>HYPERLINK("https://www.somogyi.hu/product/sal-kls-0-5t-hangszorovezetek-atlatszo-2-x-0-5-mm2-0-15-mm-elemi-szal-100-m-tekercs-kls-0-5t-6573","https://www.somogyi.hu/product/sal-kls-0-5t-hangszorovezetek-atlatszo-2-x-0-5-mm2-0-15-mm-elemi-szal-100-m-tekercs-kls-0-5t-6573")</f>
        <v>0.0</v>
      </c>
      <c r="E1434" s="7" t="n">
        <f>HYPERLINK("https://www.somogyi.hu/data/img/product_main_images/small/06573.jpg","https://www.somogyi.hu/data/img/product_main_images/small/06573.jpg")</f>
        <v>0.0</v>
      </c>
      <c r="F1434" s="2" t="inlineStr">
        <is>
          <t>5998312756126</t>
        </is>
      </c>
      <c r="G1434" s="4" t="inlineStr">
        <is>
          <t>Szüksége van egy megbízható és kiváló minőségű hangszóróvezetékre, amely biztosítja a tiszta hangzást? A SAL KLS 0,5T hangszóróvezeték ideális megoldás, ha tökéletes hangátvitelre vágyik.
Ez a 2 x 0,5 mm² keresztmetszetű átlátszó hangszóróvezeték kétvezetékes 2C x (29 x 0,15 mm), amely garantálja a kiváló minőségű hangátvitelt. A vezeték 5,0 x 2,5 mm méretű, és 0,15 mm-es rézbevonatú alumínium elemi szálakból áll, amely kiváló vezetőképességet és tartósságot biztosít. A SAL KLS 0,5T hangszóróvezeték 100 méteres tekercsben kapható, ami bőséges mennyiséget biztosít nagyobb projektekhez is. 
Ne hagyja ki ezt a lehetőséget, válassza a SAL KLS 0,5T hangszóróvezetéket, és élvezze a kristálytiszta hangzást minden zeneszámnál!</t>
        </is>
      </c>
    </row>
    <row r="1435">
      <c r="A1435" s="3" t="inlineStr">
        <is>
          <t>KLS 0,75T</t>
        </is>
      </c>
      <c r="B1435" s="2" t="inlineStr">
        <is>
          <t>SAL KLS 0,75T hangszóróvezeték, átlátszó, 2 x 0,75 mm2, 0,15 mm elemi szál, 100 m/ tekercs</t>
        </is>
      </c>
      <c r="C1435" s="1" t="n">
        <v>129.0</v>
      </c>
      <c r="D1435" s="7" t="n">
        <f>HYPERLINK("https://www.somogyi.hu/product/sal-kls-0-75t-hangszorovezetek-atlatszo-2-x-0-75-mm2-0-15-mm-elemi-szal-100-m-tekercs-kls-0-75t-6574","https://www.somogyi.hu/product/sal-kls-0-75t-hangszorovezetek-atlatszo-2-x-0-75-mm2-0-15-mm-elemi-szal-100-m-tekercs-kls-0-75t-6574")</f>
        <v>0.0</v>
      </c>
      <c r="E1435" s="7" t="n">
        <f>HYPERLINK("https://www.somogyi.hu/data/img/product_main_images/small/06574.jpg","https://www.somogyi.hu/data/img/product_main_images/small/06574.jpg")</f>
        <v>0.0</v>
      </c>
      <c r="F1435" s="2" t="inlineStr">
        <is>
          <t>5998312756133</t>
        </is>
      </c>
      <c r="G1435" s="4" t="inlineStr">
        <is>
          <t>Szüksége van egy megbízható és kiváló minőségű hangszóróvezetékre, amely biztosítja a tiszta hangzást? A SAL KLS 0,75T hangszóróvezeték ideális megoldás, ha tökéletes hangátvitelre vágyik.
Ez a 2 x 0,75 mm² keresztmetszetű átlátszó hangszóróvezeték kétvezetékes 2C x (43 x 0,15 mm), amely garantálja a kiváló minőségű hangátvitelt. A vezeték 5,0 x 2,5 mm méretű, és 0,15 mm-es rézbevonatú alumínium elemi szálakból áll, amely kiváló vezetőképességet és tartósságot biztosít. A SAL KLS 0,75T hangszóróvezeték 100 méteres tekercsben kapható, ami bőséges mennyiséget biztosít nagyobb projektekhez is. 
Ne hagyja ki ezt a lehetőséget, válassza a SAL KLS 0,75T hangszóróvezetéket, és élvezze a kristálytiszta hangzást minden zeneszámnál!</t>
        </is>
      </c>
    </row>
    <row r="1436">
      <c r="A1436" s="3" t="inlineStr">
        <is>
          <t>KLS 1</t>
        </is>
      </c>
      <c r="B1436" s="2" t="inlineStr">
        <is>
          <t>SAL KLS 1 hangszóróvezeték, piros-fekete, 2 x 1 mm2, 0,15 mm elemi szál, 100 m/ tekercs</t>
        </is>
      </c>
      <c r="C1436" s="1" t="n">
        <v>169.0</v>
      </c>
      <c r="D1436" s="7" t="n">
        <f>HYPERLINK("https://www.somogyi.hu/product/sal-kls-1-hangszorovezetek-piros-fekete-2-x-1-mm2-0-15-mm-elemi-szal-100-m-tekercs-kls-1-6570","https://www.somogyi.hu/product/sal-kls-1-hangszorovezetek-piros-fekete-2-x-1-mm2-0-15-mm-elemi-szal-100-m-tekercs-kls-1-6570")</f>
        <v>0.0</v>
      </c>
      <c r="E1436" s="7" t="n">
        <f>HYPERLINK("https://www.somogyi.hu/data/img/product_main_images/small/06570.jpg","https://www.somogyi.hu/data/img/product_main_images/small/06570.jpg")</f>
        <v>0.0</v>
      </c>
      <c r="F1436" s="2" t="inlineStr">
        <is>
          <t>5998312756102</t>
        </is>
      </c>
      <c r="G1436" s="4" t="inlineStr">
        <is>
          <t>Szüksége van egy megbízható és kiváló minőségű hangszóróvezetékre, amely biztosítja a tiszta hangzást? A SAL KLS 1 hangszóróvezeték ideális megoldás, ha tökéletes hangátvitelre vágyik.
Ez a 2 x 1,0 mm² keresztmetszetű piros-fekete hangszóróvezeték kétvezetékes 2C x (57 x 0,15 mm), amely garantálja a kiváló minőségű hangátvitelt. A vezeték 6,0 x 3,0 mm méretű, és 0,15 mm-es rézbevonatú alumínium elemi szálakból áll, amely kiváló vezetőképességet és tartósságot biztosít. A SAL KLS 1 hangszóróvezeték 100 méteres tekercsben kapható, ami bőséges mennyiséget biztosít nagyobb projektekhez is. A piros-fekete színkódolás megkönnyíti a polaritás helyes csatlakoztatását, így egyszerűen és gyorsan végezheti el a kábelezést.
Ne hagyja ki ezt a lehetőséget, válassza a SAL KLS 1 hangszóróvezetéket, és élvezze a kristálytiszta hangzást minden zeneszámnál!</t>
        </is>
      </c>
    </row>
    <row r="1437">
      <c r="A1437" s="3" t="inlineStr">
        <is>
          <t>KLS 0,75</t>
        </is>
      </c>
      <c r="B1437" s="2" t="inlineStr">
        <is>
          <t>SAL KLS 0,75 hangszóróvezeték, piros-fekete, 2 x 0,75 mm2, 0,15 mm elemi szál, 100 m/ tekercs</t>
        </is>
      </c>
      <c r="C1437" s="1" t="n">
        <v>129.0</v>
      </c>
      <c r="D1437" s="7" t="n">
        <f>HYPERLINK("https://www.somogyi.hu/product/sal-kls-0-75-hangszorovezetek-piros-fekete-2-x-0-75-mm2-0-15-mm-elemi-szal-100-m-tekercs-kls-0-75-6569","https://www.somogyi.hu/product/sal-kls-0-75-hangszorovezetek-piros-fekete-2-x-0-75-mm2-0-15-mm-elemi-szal-100-m-tekercs-kls-0-75-6569")</f>
        <v>0.0</v>
      </c>
      <c r="E1437" s="7" t="n">
        <f>HYPERLINK("https://www.somogyi.hu/data/img/product_main_images/small/06569.jpg","https://www.somogyi.hu/data/img/product_main_images/small/06569.jpg")</f>
        <v>0.0</v>
      </c>
      <c r="F1437" s="2" t="inlineStr">
        <is>
          <t>5998312756096</t>
        </is>
      </c>
      <c r="G1437" s="4" t="inlineStr">
        <is>
          <t>Szüksége van egy megbízható és kiváló minőségű hangszóróvezetékre, amely biztosítja a tiszta hangzást? A SAL KLS 0,75 hangszóróvezeték ideális megoldás, ha tökéletes hangátvitelre vágyik.
Ez a 2 x 0,75 mm² keresztmetszetű piros-fekete hangszóróvezeték kétvezetékes 2C x (43 x 0,15 mm), amely garantálja a kiváló minőségű hangátvitelt. A vezeték 5,0 x 2,5 mm méretű, és 0,15 mm-es rézbevonatú alumínium elemi szálakból áll, amely kiváló vezetőképességet és tartósságot biztosít. A SAL KLS 0,75 hangszóróvezeték 100 méteres tekercsben kapható, ami bőséges mennyiséget biztosít nagyobb projektekhez is. A piros-fekete színkódolás megkönnyíti a polaritás helyes csatlakoztatását, így egyszerűen és gyorsan végezheti el a kábelezést.
Ne hagyja ki ezt a lehetőséget, válassza a SAL KLS 0,75 hangszóróvezetéket, és élvezze a kristálytiszta hangzást minden zeneszámnál!</t>
        </is>
      </c>
    </row>
    <row r="1438">
      <c r="A1438" s="3" t="inlineStr">
        <is>
          <t>KLS 0,5</t>
        </is>
      </c>
      <c r="B1438" s="2" t="inlineStr">
        <is>
          <t>SAL KLS 0,5 hangszóróvezeték, piros-fekete, 2 x 0,5 mm2, 0,15 mm elemi szál, 100 m/ tekercs</t>
        </is>
      </c>
      <c r="C1438" s="1" t="n">
        <v>109.0</v>
      </c>
      <c r="D1438" s="7" t="n">
        <f>HYPERLINK("https://www.somogyi.hu/product/sal-kls-0-5-hangszorovezetek-piros-fekete-2-x-0-5-mm2-0-15-mm-elemi-szal-100-m-tekercs-kls-0-5-6568","https://www.somogyi.hu/product/sal-kls-0-5-hangszorovezetek-piros-fekete-2-x-0-5-mm2-0-15-mm-elemi-szal-100-m-tekercs-kls-0-5-6568")</f>
        <v>0.0</v>
      </c>
      <c r="E1438" s="7" t="n">
        <f>HYPERLINK("https://www.somogyi.hu/data/img/product_main_images/small/06568.jpg","https://www.somogyi.hu/data/img/product_main_images/small/06568.jpg")</f>
        <v>0.0</v>
      </c>
      <c r="F1438" s="2" t="inlineStr">
        <is>
          <t>5998312756089</t>
        </is>
      </c>
      <c r="G1438" s="4" t="inlineStr">
        <is>
          <t>Szüksége van egy megbízható és kiváló minőségű hangszóróvezetékre, amely biztosítja a tiszta hangzást? A SAL KLS 0,5 hangszóróvezeték ideális megoldás, ha tökéletes hangátvitelre vágyik.
Ez a 2 x 0,5 mm² keresztmetszetű piros-fekete hangszóróvezeték kétvezetékes 2C x (29 x 0,15 mm), amely garantálja a kiváló minőségű hangátvitelt. A vezeték 5,0 x 2,5 mm méretű, és 0,15 mm-es rézbevonatú alumínium elemi szálakból áll, amely kiváló vezetőképességet és tartósságot biztosít. A SAL KLS 0,5 hangszóróvezeték 100 méteres tekercsben kapható, ami bőséges mennyiséget biztosít nagyobb projektekhez is. A piros-fekete színkódolás megkönnyíti a polaritás helyes csatlakoztatását, így egyszerűen és gyorsan végezheti el a kábelezést.
Ne hagyja ki ezt a lehetőséget, válassza a SAL KLS 0,5 hangszóróvezetéket, és élvezze a kristálytiszta hangzást minden zeneszámnál!</t>
        </is>
      </c>
    </row>
    <row r="1439">
      <c r="A1439" s="3" t="inlineStr">
        <is>
          <t>KLS 0,35</t>
        </is>
      </c>
      <c r="B1439" s="2" t="inlineStr">
        <is>
          <t>SAL KLS 0,35 hangszóróvezeték, piros-fekete, 2 x 0,35 mm2, 0,15 mm elemi szál, 100 m/ tekercs</t>
        </is>
      </c>
      <c r="C1439" s="1" t="n">
        <v>79.0</v>
      </c>
      <c r="D1439" s="7" t="n">
        <f>HYPERLINK("https://www.somogyi.hu/product/sal-kls-0-35-hangszorovezetek-piros-fekete-2-x-0-35-mm2-0-15-mm-elemi-szal-100-m-tekercs-kls-0-35-6567","https://www.somogyi.hu/product/sal-kls-0-35-hangszorovezetek-piros-fekete-2-x-0-35-mm2-0-15-mm-elemi-szal-100-m-tekercs-kls-0-35-6567")</f>
        <v>0.0</v>
      </c>
      <c r="E1439" s="7" t="n">
        <f>HYPERLINK("https://www.somogyi.hu/data/img/product_main_images/small/06567.jpg","https://www.somogyi.hu/data/img/product_main_images/small/06567.jpg")</f>
        <v>0.0</v>
      </c>
      <c r="F1439" s="2" t="inlineStr">
        <is>
          <t>5998312756072</t>
        </is>
      </c>
      <c r="G1439" s="4" t="inlineStr">
        <is>
          <t>Szüksége van egy megbízható és kiváló minőségű hangszóróvezetékre, amely biztosítja a tiszta hangzást? A SAL KLS 0,35 hangszóróvezeték ideális megoldás, ha tökéletes hangátvitelre vágyik.
Ez a 2 x 0,35 mm² keresztmetszetű piros-fekete hangszóróvezeték kétvezetékes 2C x (20 x 0,15 mm), amely garantálja a kiváló minőségű hangátvitelt. A vezeték 4,4 x 2,2 mm méretű, és 0,15 mm-es rézbevonatú alumínium elemi szálakból áll, amely kiváló vezetőképességet és tartósságot biztosít. A SAL KLS 0,35 hangszóróvezeték 100 méteres tekercsben kapható, ami bőséges mennyiséget biztosít nagyobb projektekhez is. A piros-fekete színkódolás megkönnyíti a polaritás helyes csatlakoztatását, így egyszerűen és gyorsan végezheti el a kábelezést.
Ne hagyja ki ezt a lehetőséget, válassza a SAL KLS 0,35 hangszóróvezetéket, és élvezze a kristálytiszta hangzást minden zeneszámnál!</t>
        </is>
      </c>
    </row>
    <row r="1440">
      <c r="A1440" s="3" t="inlineStr">
        <is>
          <t>KLS 0,15</t>
        </is>
      </c>
      <c r="B1440" s="2" t="inlineStr">
        <is>
          <t>SAL KLS 0,15 hangszóróvezeték, piros-fekete, 2 x 0,15 mm2, 0,15 mm elemi szál, 100 m/ tekercs</t>
        </is>
      </c>
      <c r="C1440" s="1" t="n">
        <v>55.0</v>
      </c>
      <c r="D1440" s="7" t="n">
        <f>HYPERLINK("https://www.somogyi.hu/product/sal-kls-0-15-hangszorovezetek-piros-fekete-2-x-0-15-mm2-0-15-mm-elemi-szal-100-m-tekercs-kls-0-15-6566","https://www.somogyi.hu/product/sal-kls-0-15-hangszorovezetek-piros-fekete-2-x-0-15-mm2-0-15-mm-elemi-szal-100-m-tekercs-kls-0-15-6566")</f>
        <v>0.0</v>
      </c>
      <c r="E1440" s="7" t="n">
        <f>HYPERLINK("https://www.somogyi.hu/data/img/product_main_images/small/06566.jpg","https://www.somogyi.hu/data/img/product_main_images/small/06566.jpg")</f>
        <v>0.0</v>
      </c>
      <c r="F1440" s="2" t="inlineStr">
        <is>
          <t>5998312756065</t>
        </is>
      </c>
      <c r="G1440" s="4" t="inlineStr">
        <is>
          <t>Szüksége van egy megbízható és kiváló minőségű hangszóróvezetékre, amely biztosítja a tiszta hangzást? A SAL KLS 0,15 hangszóróvezeték ideális megoldás, ha tökéletes hangátvitelre vágyik.
Ez a 2 x 0,15 mm² keresztmetszetű piros-fekete hangszóróvezeték kétvezetékes (2C x 9 x 0,15 mm), amely garantálja a kiváló minőségű hangátvitelt. A vezeték 3,6 x 1,8 mm méretű, és 0,15 mm-es rézbevonatú alumínium elemi szálakból áll, amely kiváló vezetőképességet és tartósságot biztosít. A SAL KLS 0,15 hangszóróvezeték 100 méteres tekercsben kapható, ami bőséges mennyiséget biztosít nagyobb projektekhez is. A piros-fekete színkódolás megkönnyíti a polaritás helyes csatlakoztatását, így egyszerűen és gyorsan végezheti el a kábelezést.
Ne hagyja ki ezt a lehetőséget, válassza a SAL KLS 0,15 hangszóróvezetéket, és élvezze a kristálytiszta hangzást minden zeneszámnál!</t>
        </is>
      </c>
    </row>
    <row r="1441">
      <c r="A1441" s="3" t="inlineStr">
        <is>
          <t>KL 1,5T-10X</t>
        </is>
      </c>
      <c r="B1441" s="2" t="inlineStr">
        <is>
          <t>SAL KL 1,5T-10X hangszóróvezeték, átlátszó, 2C x (7 x 27 x 0,10 mm), 0,1 mm-es elemi szálból, 10m</t>
        </is>
      </c>
      <c r="C1441" s="1" t="n">
        <v>2390.0</v>
      </c>
      <c r="D1441" s="7" t="n">
        <f>HYPERLINK("https://www.somogyi.hu/product/sal-kl-1-5t-10x-hangszorovezetek-atlatszo-2c-x-7-x-27-x-0-10-mm-0-1-mm-es-elemi-szalbol-10m-kl-1-5t-10x-2309","https://www.somogyi.hu/product/sal-kl-1-5t-10x-hangszorovezetek-atlatszo-2c-x-7-x-27-x-0-10-mm-0-1-mm-es-elemi-szalbol-10m-kl-1-5t-10x-2309")</f>
        <v>0.0</v>
      </c>
      <c r="E1441" s="7" t="n">
        <f>HYPERLINK("https://www.somogyi.hu/data/img/product_main_images/small/02309.jpg","https://www.somogyi.hu/data/img/product_main_images/small/02309.jpg")</f>
        <v>0.0</v>
      </c>
      <c r="F1441" s="2" t="inlineStr">
        <is>
          <t>5998312725764</t>
        </is>
      </c>
      <c r="G1441" s="4" t="inlineStr">
        <is>
          <t>Hogyan biztosíthatná hangrendszere kiváló teljesítményét, miközben tartós és esztétikus megoldást választ? A SAL KL 1,5T-10X átlátszó hangszóróvezeték ideális választás minden olyan felhasználó számára, aki megbízható kábelmegoldást keres otthoni vagy professzionális hangrendszereihez.
Prémium minőségű anyaghasználat a hosszú távú teljesítményért
A kábel felépítését rézbevonatú alumínium elemi szálak biztosítják, melyek garantálják a megbízható jelátvitelt és a tartós használatot. A kábel 2C x (7 x 27 x 0,10 mm) szerkezete kiváló jelminőséget nyújt, miközben minimalizálja az energia-veszteséget, így biztosítva a hangrendszer zökkenőmentes működését.
Funkcionális és esztétikus kivitel
Az átlátszó szigetelés modern megjelenést kölcsönöz, miközben lehetővé teszi a vezeték egyszerű elhelyezését bármilyen környezetben. A 6,0 x 3,0 mm-es méret optimális rugalmasságot és stabilitást biztosít, így tökéletesen alkalmazható szűk helyeken és hosszabb kábelezési távolságok esetén is.
Kompakt kiszerelés a kényelmes használathoz
A SAL KL 1,5T-10X kábel 10 méteres tekercsben érkezik, amely ideális kisebb projektekhez, például házimozik, hangszóró-telepítések vagy rendezvények hangosítására. A bliszteres csomagolás nemcsak a termék védelmét, hanem annak könnyű tárolását is biztosítja.
Ideális választás otthonra és szakmai felhasználásra egyaránt
Akár házimozi rendszerhez, akár professzionális hangosítási projektekhez keres megbízható kábelt, a SAL KL 1,5T-10X kábel kiváló választás. A vezeték felépítése, anyaga és esztétikai kialakítása garantálja a hangminőséget és a tartósságot.
Válassza a minőséget, és élvezze a tökéletes hangélményt!
Ne hagyja, hogy egy rossz minőségű kábel rontsa el hangrendszere teljesítményét! Rendelje meg a SAL KL 1,5T-10X hangszóróvezetéket még ma, és élvezze a tiszta, erőteljes hangzást otthonában vagy bármilyen rendezvényen!</t>
        </is>
      </c>
    </row>
    <row r="1442">
      <c r="A1442" s="3" t="inlineStr">
        <is>
          <t>KLS 1,5</t>
        </is>
      </c>
      <c r="B1442" s="2" t="inlineStr">
        <is>
          <t>SAL KLS 1,5 hangszóróvezeték, piros-fekete, 2 x 1,5 mm2, 0,15 mm elemi szál, 100 m/ tekercs</t>
        </is>
      </c>
      <c r="C1442" s="1" t="n">
        <v>219.0</v>
      </c>
      <c r="D1442" s="7" t="n">
        <f>HYPERLINK("https://www.somogyi.hu/product/sal-kls-1-5-hangszorovezetek-piros-fekete-2-x-1-5-mm2-0-15-mm-elemi-szal-100-m-tekercs-kls-1-5-6571","https://www.somogyi.hu/product/sal-kls-1-5-hangszorovezetek-piros-fekete-2-x-1-5-mm2-0-15-mm-elemi-szal-100-m-tekercs-kls-1-5-6571")</f>
        <v>0.0</v>
      </c>
      <c r="E1442" s="7" t="n">
        <f>HYPERLINK("https://www.somogyi.hu/data/img/product_main_images/small/06571.jpg","https://www.somogyi.hu/data/img/product_main_images/small/06571.jpg")</f>
        <v>0.0</v>
      </c>
      <c r="F1442" s="2" t="inlineStr">
        <is>
          <t>5998312756119</t>
        </is>
      </c>
      <c r="G1442" s="4" t="inlineStr">
        <is>
          <t>Szüksége van egy megbízható és kiváló minőségű hangszóróvezetékre, amely biztosítja a tiszta hangzást? A SAL KLS 1,5 hangszóróvezeték ideális megoldás, ha tökéletes hangátvitelre vágyik.
Ez a 2 x 1,5 mm² keresztmetszetű piros-fekete hangszóróvezeték kétvezetékes 2C x (85 x 0,15 mm), amely garantálja a kiváló minőségű hangátvitelt. A vezeték 7,0 x 3,5 mm méretű, és 0,15 mm-es rézbevonatú alumínium elemi szálakból áll, amely kiváló vezetőképességet és tartósságot biztosít. A SAL KLS 1,5 hangszóróvezeték 100 méteres tekercsben kapható, ami bőséges mennyiséget biztosít nagyobb projektekhez is. A piros-fekete színkódolás megkönnyíti a polaritás helyes csatlakoztatását, így egyszerűen és gyorsan végezheti el a kábelezést.
Ne hagyja ki ezt a lehetőséget, válassza a SAL KLS 1,5 hangszóróvezetéket, és élvezze a kristálytiszta hangzást minden zeneszámnál!</t>
        </is>
      </c>
    </row>
    <row r="1443">
      <c r="A1443" s="3" t="inlineStr">
        <is>
          <t>KL 1,5</t>
        </is>
      </c>
      <c r="B1443" s="2" t="inlineStr">
        <is>
          <t>SAL KL 1,5 hangszóróvezeték, piros-fekete, 2 x 1,5 mm2, 0,1 mm elemi szál, 100 m/ tekercs</t>
        </is>
      </c>
      <c r="C1443" s="1" t="n">
        <v>789.0</v>
      </c>
      <c r="D1443" s="7" t="n">
        <f>HYPERLINK("https://www.somogyi.hu/product/sal-kl-1-5-hangszorovezetek-piros-fekete-2-x-1-5-mm2-0-1-mm-elemi-szal-100-m-tekercs-kl-1-5-2820","https://www.somogyi.hu/product/sal-kl-1-5-hangszorovezetek-piros-fekete-2-x-1-5-mm2-0-1-mm-elemi-szal-100-m-tekercs-kl-1-5-2820")</f>
        <v>0.0</v>
      </c>
      <c r="E1443" s="7" t="n">
        <f>HYPERLINK("https://www.somogyi.hu/data/img/product_main_images/small/02820.jpg","https://www.somogyi.hu/data/img/product_main_images/small/02820.jpg")</f>
        <v>0.0</v>
      </c>
      <c r="F1443" s="2" t="inlineStr">
        <is>
          <t>5998312731444</t>
        </is>
      </c>
      <c r="G1443" s="4" t="inlineStr">
        <is>
          <t>Hogyan biztosítható a tiszta és zavartalan hangátvitel a hangrendszerében? A SAL KL 1,5 hangszóróvezeték a kiváló minőségű oxigénmentes rézanyagával és precíz kialakításával garantálja a professzionális teljesítményt minden alkalmazási területen. Ideális választás házimozi-rendszerekhez, hangosító berendezésekhez, vagy akár nagyobb installációs projektekhez is.
Kiemelkedő minőségű anyagok és szerkezet
Ez a kábel 2 x 1,5 mm² keresztmetszetű, amely biztosítja az optimális jelátvitelt és minimális jelveszteséget. A 0,1 mm-es elemi szálak oxigénmentes tiszta rézből készültek, amelyek nemcsak a tökéletes hangzást garantálják, hanem a hosszú élettartamot is. A kábel 2C x (7 x 27 x 0,10 mm) szerkezetű, amely stabil és megbízható működést eredményez.
Praktikus kialakítás a könnyű használatért
A kábel 6,0 mm széles és 3,0 mm magas, ami kényelmes telepítést tesz lehetővé, akár szűk helyeken is. A piros-fekete színű szigetelés nemcsak esztétikus, hanem segíti a gyors azonosítást is, ezzel időt takarítva meg telepítés közben. A 100 méteres tekercs pedig elegendő hosszúságot biztosít akár nagyobb rendszerekhez is.
Válassza a SAL KL 1,5 hangszóróvezetéket, és élvezze a kristálytiszta hangminőséget minden alkalommal!Legyen szó otthoni szórakozásról vagy professzionális hangosításról, ez a kábel mindig tökéletes választás. Rendelje meg most, és tegye még tökéletesebbé a hangélményt!</t>
        </is>
      </c>
    </row>
    <row r="1444">
      <c r="A1444" s="3" t="inlineStr">
        <is>
          <t>KL 2,5 SILVER</t>
        </is>
      </c>
      <c r="B1444" s="2" t="inlineStr">
        <is>
          <t>SAL KL 2,5 SILVER prémium hangszóróvezeték, high-end HiFi minőség, oxigénmentes réz, 2 x 2,5 mm2, 100 m/ tekercs</t>
        </is>
      </c>
      <c r="C1444" s="1" t="n">
        <v>1650.0</v>
      </c>
      <c r="D1444" s="7" t="n">
        <f>HYPERLINK("https://www.somogyi.hu/product/sal-kl-2-5-silver-premium-hangszorovezetek-high-end-hifi-minoseg-oxigenmentes-rez-2-x-2-5-mm2-100-m-tekercs-kl-2-5-silver-17374","https://www.somogyi.hu/product/sal-kl-2-5-silver-premium-hangszorovezetek-high-end-hifi-minoseg-oxigenmentes-rez-2-x-2-5-mm2-100-m-tekercs-kl-2-5-silver-17374")</f>
        <v>0.0</v>
      </c>
      <c r="E1444" s="7" t="n">
        <f>HYPERLINK("https://www.somogyi.hu/data/img/product_main_images/small/17374.jpg","https://www.somogyi.hu/data/img/product_main_images/small/17374.jpg")</f>
        <v>0.0</v>
      </c>
      <c r="F1444" s="2" t="inlineStr">
        <is>
          <t>5999084953966</t>
        </is>
      </c>
      <c r="G1444" s="4" t="inlineStr">
        <is>
          <t>Szeretne prémium hangminőséget, amely minden részletet hűen visszaad? A SAL KL 2,5 SILVER prémium hangszóróvezeték a High-End HiFi rendszerekhez tervezett megoldás, amely az ezüst bevonat és a nagytisztaságú oxigénmentes réz kombinációjával emeli új szintre a hangzást.
Kivételes teljesítmény és precíz technikai felépítés
Ez a prémium kábel 2C x (2 x 51 x 0,25 mm) struktúrával készült, amely garantálja a kiváló vezetőképességet és az egyenletes hangátvitelt. Az ezüst bevonat gondoskodik a precízebb frekvenciaátvitelről, különösen a közép- és magas hangok kiemeléséről, miközben javítja a kontaktust a hangszóró és az erősítő között. A kábel mérete 7,6 x 3,8 mm, ami kényelmes telepítést és modern megjelenést biztosít, tökéletesen illeszkedve bármilyen környezetbe.
A nagytisztaságú, oxigénmentes réz anyagnak köszönhetően a kábel nemcsak kiemelkedően tartós, de a zenei részletek hű visszaadásában is élen jár. Az átlátszó szigetelés nemcsak esztétikus, hanem lehetővé teszi a belső kábelstruktúra megtekintését is, ami különleges vizuális élményt nyújt.
Ideális választás hosszabb telepítésekhez
A tekercshossz 25 méter, ami lehetővé teszi a rugalmas felhasználást akár nagyobb helyiségekben vagy professzionális telepítések során is. Ez a kábel nemcsak HiFi rendszerekhez, hanem házimozi-rendszerekhez, professzionális stúdiókhoz és audiofil környezetekhez is ideális.
Minden részletre kiterjedő tervezés
Az ezüst bevonat különleges hangzást biztosít, amely kiemeli a zenei részleteket és javítja a frekvenciaátvitelt.
A nagytisztaságú réz gondoskodik a stabil vezetőképességről és a hosszú távú megbízhatóságról.
A kábel szélessége és magassága 7,6 x 3,8 mm, amely kényelmes telepítést és esztétikus megjelenést garantál.
Az átlátszó szigetelés elegáns és modern megjelenést kölcsönöz, bármilyen környezethez illeszkedve.
Az elemi szálak átmérője 0,25 mm, ami precíz hangátvitelt biztosít.
Rendelje meg most a SAL KL 2,5 SILVER prémium hangszóróvezetéket, és élvezze a kivételes zenei tisztaságot és dinamikát! Ideális választás mindenki számára, aki nem elégszik meg az átlagossal, és valódi audiofil minőséget keres. Válassza a kompromisszummentes megoldást, és hallgassa zenéit úgy, ahogyan azt a készítők megálmodták!</t>
        </is>
      </c>
    </row>
    <row r="1445">
      <c r="A1445" s="3" t="inlineStr">
        <is>
          <t>KL 2,5T</t>
        </is>
      </c>
      <c r="B1445" s="2" t="inlineStr">
        <is>
          <t>SAL KL 2,5T hangszóróvezeték, átlátszó, 2 x 2,5 mm2, 0,1 mm elemi szál, 50 m/ tekercs</t>
        </is>
      </c>
      <c r="C1445" s="1" t="n">
        <v>1350.0</v>
      </c>
      <c r="D1445" s="7" t="n">
        <f>HYPERLINK("https://www.somogyi.hu/product/sal-kl-2-5t-hangszorovezetek-atlatszo-2-x-2-5-mm2-0-1-mm-elemi-szal-50-m-tekercs-kl-2-5t-2625","https://www.somogyi.hu/product/sal-kl-2-5t-hangszorovezetek-atlatszo-2-x-2-5-mm2-0-1-mm-elemi-szal-50-m-tekercs-kl-2-5t-2625")</f>
        <v>0.0</v>
      </c>
      <c r="E1445" s="7" t="n">
        <f>HYPERLINK("https://www.somogyi.hu/data/img/product_main_images/small/02625.jpg","https://www.somogyi.hu/data/img/product_main_images/small/02625.jpg")</f>
        <v>0.0</v>
      </c>
      <c r="F1445" s="2" t="inlineStr">
        <is>
          <t>5998312729403</t>
        </is>
      </c>
      <c r="G1445" s="4" t="inlineStr">
        <is>
          <t>Kiváló hangminőséget keres, amely tartós és megbízható minden környezetben? A SAL KL 2,5T hangszóróvezeték tökéletes megoldást kínál mindazok számára, akik prémium kategóriás audiokábelre vágynak, amely optimális teljesítményt biztosít. Ez a 2 x 2,5 mm² keresztmetszetű kábel ideális választás, ha fontos a maximális jelátvitel és a tartósság.
Prémium anyaghasználat és kivitel
A vezeték oxigénmentes tiszta réz elemi szálakból készült, amelyek átmérője 0,1 mm. A 2C x (7 x 45 x 0,10 mm) szerkezet nemcsak a kiváló jelminőséget garantálja, hanem minimális torzítást és hosszú élettartamot is biztosít. Az átlátszó szigetelés nemcsak modern megjelenést ad, hanem segíti a kábel gyors és egyszerű beazonosítását is telepítés közben.
Fokozott teljesítmény és megbízhatóság
A kábel szélessége 7,6 mm, magassága pedig 3,8 mm, amely kényelmes és praktikus telepítést tesz lehetővé. Az oxigénmentes réz alapanyag biztosítja, hogy az audiojelek tisztán és zavartalanul jussanak el a hangszóróhoz, ezzel garantálva a kiemelkedő hangminőséget bármilyen környezetben.
Sokoldalú felhasználhatóság
A SAL KL 2,5T hangszóróvezeték 50 méteres tekercsben érkezik, így nagyobb projektekhez is elegendő hosszúságot kínál. Ideális mind otthoni, mind professzionális hangrendszerek telepítéséhez, legyen szó házimozi-rendszerekről, stúdiófelszerelésekről vagy koncerttechnológiáról.
Válassza a SAL KL 2,5T hangszóróvezetéket, és élvezze a kristálytiszta hangzást minden alkalommal! Tökéletes kiegészítője bármilyen hangrendszernek, amely megbízhatóságot és professzionális teljesítményt igényel. Ne hagyja ki, emelje hangélményét új szintre ezzel a prémium vezetékkel!</t>
        </is>
      </c>
    </row>
    <row r="1446">
      <c r="A1446" s="3" t="inlineStr">
        <is>
          <t>KL 0,35</t>
        </is>
      </c>
      <c r="B1446" s="2" t="inlineStr">
        <is>
          <t>SAL KL 0,35 hangszóróvezeték, piros-fekete, 2 x 0,35 mm2, 0,1 mm elemi szál, 100 m/ tekercs</t>
        </is>
      </c>
      <c r="C1446" s="1" t="n">
        <v>209.0</v>
      </c>
      <c r="D1446" s="7" t="n">
        <f>HYPERLINK("https://www.somogyi.hu/product/sal-kl-0-35-hangszorovezetek-piros-fekete-2-x-0-35-mm2-0-1-mm-elemi-szal-100-m-tekercs-kl-0-35-1798","https://www.somogyi.hu/product/sal-kl-0-35-hangszorovezetek-piros-fekete-2-x-0-35-mm2-0-1-mm-elemi-szal-100-m-tekercs-kl-0-35-1798")</f>
        <v>0.0</v>
      </c>
      <c r="E1446" s="7" t="n">
        <f>HYPERLINK("https://www.somogyi.hu/data/img/product_main_images/small/01798.jpg","https://www.somogyi.hu/data/img/product_main_images/small/01798.jpg")</f>
        <v>0.0</v>
      </c>
      <c r="F1446" s="2" t="inlineStr">
        <is>
          <t>5998312702840</t>
        </is>
      </c>
      <c r="G1446" s="4" t="inlineStr">
        <is>
          <t>Hogyan biztosíthatja a zavartalan és megbízható hangátvitelt kompakt rendszereihez? A SAL KL 0,35 hangszóróvezeték kiváló megoldást nyújt kisebb hangrendszerekhez és audioberendezésekhez. Ez a kábel ötvözi a magas minőségű anyagokat és a praktikus kialakítást, így biztosítva a tiszta és pontos hangzást.
Kiváló anyagminőség és hatékony jelátvitel
A SAL KL 0,35 hangszóróvezeték 2 x 0,35 mm² keresztmetszetű, ami ideális választás kisebb teljesítményű hangszórókhoz és audioberendezésekhez. Az oxigénmentes rézből készült 0,1 mm átmérőjű elemi szálak nemcsak a kiváló hangminőséget, hanem a hosszú távú megbízhatóságot is garantálják. A kábel precíz felépítése, 2C x (45 x 0,10 mm), biztosítja a stabil és folyamatos jelátvitelt.
Könnyű kezelhetőség és esztétikus megjelenés
A 4,4 mm széles és 2,2 mm magas kábelkialakítás megkönnyíti a telepítést még szűk helyeken is. A piros-fekete színű szigetelés segíti a vezetékek egyszerű azonosítását, így csökkentve a hibázás lehetőségét a csatlakoztatás során. A 100 méteres tekercs bőséges kábelhosszt biztosít, hogy minden igényt kielégítsen.
Válassza a SAL KL 0,35 hangszóróvezetéket, hogy kompromisszumok nélkül élvezhesse a kristálytiszta hangzást! Ez a vezeték ideális választás otthoni és kisebb professzionális rendszerekhez, ahol a megbízhatóság és a hatékony jelátvitel kiemelten fontos. Rendelje meg most, és fedezze fel a minőségi hangzás élményét!</t>
        </is>
      </c>
    </row>
    <row r="1447">
      <c r="A1447" s="3" t="inlineStr">
        <is>
          <t>KLS 2,5T</t>
        </is>
      </c>
      <c r="B1447" s="2" t="inlineStr">
        <is>
          <t>SAL KLS 2,5T hangszóróvezeték, átlátszó, 2 x 2,5 mm2, 0,15 mm elemi szál, 50 m/ tekercs</t>
        </is>
      </c>
      <c r="C1447" s="1" t="n">
        <v>419.0</v>
      </c>
      <c r="D1447" s="7" t="n">
        <f>HYPERLINK("https://www.somogyi.hu/product/sal-kls-2-5t-hangszorovezetek-atlatszo-2-x-2-5-mm2-0-15-mm-elemi-szal-50-m-tekercs-kls-2-5t-6577","https://www.somogyi.hu/product/sal-kls-2-5t-hangszorovezetek-atlatszo-2-x-2-5-mm2-0-15-mm-elemi-szal-50-m-tekercs-kls-2-5t-6577")</f>
        <v>0.0</v>
      </c>
      <c r="E1447" s="7" t="n">
        <f>HYPERLINK("https://www.somogyi.hu/data/img/product_main_images/small/06577.jpg","https://www.somogyi.hu/data/img/product_main_images/small/06577.jpg")</f>
        <v>0.0</v>
      </c>
      <c r="F1447" s="2" t="inlineStr">
        <is>
          <t>5998312756164</t>
        </is>
      </c>
      <c r="G1447" s="4" t="inlineStr">
        <is>
          <t>Szüksége van egy megbízható és kiváló minőségű hangszóróvezetékre, amely biztosítja a tiszta hangzást? A SAL KLS 2,5T hangszóróvezeték ideális megoldás, ha tökéletes hangátvitelre vágyik.
Ez a 2 x 2,5 mm² keresztmetszetű átlátszó hangszóróvezeték kétvezetékes 2C x (7 x 21 x 0,15 mm), amely garantálja a kiváló minőségű hangátvitelt. A vezeték 9,0 x 4,5 mm méretű, és 0,15 mm-es rézbevonatú alumínium elemi szálakból áll, amely kiváló vezetőképességet és tartósságot biztosít. A SAL KLS 2,5T hangszóróvezeték 50 méteres tekercsben kapható, ami bőséges mennyiséget biztosít nagyobb projektekhez is.
Ne hagyja ki ezt a lehetőséget, válassza a SAL KLS 2,5T hangszóróvezetéket, és élvezze a kristálytiszta hangzást minden zeneszámnál!</t>
        </is>
      </c>
    </row>
    <row r="1448">
      <c r="A1448" s="3" t="inlineStr">
        <is>
          <t>KL 0,15</t>
        </is>
      </c>
      <c r="B1448" s="2" t="inlineStr">
        <is>
          <t>SAL KL 0,15 hangszóróvezeték, piros-fekete, 2 x 0,15 mm2, 0,1 mm elemi szál, 100 m/ tekercs</t>
        </is>
      </c>
      <c r="C1448" s="1" t="n">
        <v>109.0</v>
      </c>
      <c r="D1448" s="7" t="n">
        <f>HYPERLINK("https://www.somogyi.hu/product/sal-kl-0-15-hangszorovezetek-piros-fekete-2-x-0-15-mm2-0-1-mm-elemi-szal-100-m-tekercs-kl-0-15-2520","https://www.somogyi.hu/product/sal-kl-0-15-hangszorovezetek-piros-fekete-2-x-0-15-mm2-0-1-mm-elemi-szal-100-m-tekercs-kl-0-15-2520")</f>
        <v>0.0</v>
      </c>
      <c r="E1448" s="7" t="n">
        <f>HYPERLINK("https://www.somogyi.hu/data/img/product_main_images/small/02520.jpg","https://www.somogyi.hu/data/img/product_main_images/small/02520.jpg")</f>
        <v>0.0</v>
      </c>
      <c r="F1448" s="2" t="inlineStr">
        <is>
          <t>5998312728321</t>
        </is>
      </c>
      <c r="G1448" s="4" t="inlineStr">
        <is>
          <t>Egy könnyen kezelhető és megbízható hangszórókábelt keres, amely biztosítja a kiváló hangminőséget? A SAL KL 0,15 hangszóróvezeték tökéletes választás kisebb teljesítményű hangrendszerekhez és telepítésekhez, ahol a precíz jelátvitel elengedhetetlen.
Megbízható teljesítmény és tartós kivitel
Ez a hangszóróvezeték oxigénmentes tiszta rézből készült, amely garantálja a tökéletes vezetőképességet és a hosszú élettartamot. Az aprólékosan kidolgozott, 2C x (19 x 0,10 mm) felépítésnek köszönhetően a kábel rendkívül rugalmas, miközben stabil teljesítményt biztosít. A 0,1 mm-es elemi szálakból álló szerkezet nemcsak hatékony jelátvitelt tesz lehetővé, hanem a kábel rugalmasságát is növeli, így könnyen telepíthető.
Kompakt méret, könnyű telepíthetőség
A SAL KL 0,15 hangszóróvezeték kis méretével (szélesség: 4 mm, magasság: 2 mm) ideális választás szűkebb helyeken történő telepítésekhez is. A piros-fekete szigetelés nemcsak esztétikus, hanem segíti az egyszerű azonosítást és a gyors csatlakoztatást is. Ez a vezeték különösen alkalmas kisebb hangrendszerekhez, például otthoni vagy irodai használatra, ahol a megbízható hangátvitel kulcsfontosságú.
Válassza a SAL KL 0,15 hangszóróvezetéket, ha megbízható és tartós megoldásra van szüksége kisebb hangrendszereihez! Rendelje meg most, és élvezze a tiszta hangzást, amelyet ez a prémium minőségű vezeték biztosít. Ideális otthoni sztereó rendszerekhez, irodai hangrendszerekhez és egyéb kisebb teljesítményű eszközökhöz!</t>
        </is>
      </c>
    </row>
    <row r="1449">
      <c r="A1449" s="6" t="inlineStr">
        <is>
          <t xml:space="preserve">   Hangtechnika / Hangváltó</t>
        </is>
      </c>
      <c r="B1449" s="6" t="inlineStr">
        <is>
          <t/>
        </is>
      </c>
      <c r="C1449" s="6" t="inlineStr">
        <is>
          <t/>
        </is>
      </c>
      <c r="D1449" s="6" t="inlineStr">
        <is>
          <t/>
        </is>
      </c>
      <c r="E1449" s="6" t="inlineStr">
        <is>
          <t/>
        </is>
      </c>
      <c r="F1449" s="6" t="inlineStr">
        <is>
          <t/>
        </is>
      </c>
      <c r="G1449" s="6" t="inlineStr">
        <is>
          <t/>
        </is>
      </c>
    </row>
    <row r="1450">
      <c r="A1450" s="3" t="inlineStr">
        <is>
          <t>HVP 28</t>
        </is>
      </c>
      <c r="B1450" s="2" t="inlineStr">
        <is>
          <t>SAL HVP 28 hangváltó, 600 W, 2800 Hz keresztezési frekvencia, professzionális</t>
        </is>
      </c>
      <c r="C1450" s="1" t="n">
        <v>13990.0</v>
      </c>
      <c r="D1450" s="7" t="n">
        <f>HYPERLINK("https://www.somogyi.hu/product/sal-hvp-28-hangvalto-600-w-2800-hz-keresztezesi-frekvencia-professzionalis-hvp-28-8714","https://www.somogyi.hu/product/sal-hvp-28-hangvalto-600-w-2800-hz-keresztezesi-frekvencia-professzionalis-hvp-28-8714")</f>
        <v>0.0</v>
      </c>
      <c r="E1450" s="7" t="n">
        <f>HYPERLINK("https://www.somogyi.hu/data/img/product_main_images/small/08714.jpg","https://www.somogyi.hu/data/img/product_main_images/small/08714.jpg")</f>
        <v>0.0</v>
      </c>
      <c r="F1450" s="2" t="inlineStr">
        <is>
          <t>5998312775981</t>
        </is>
      </c>
      <c r="G1450" s="4" t="inlineStr">
        <is>
          <t>Mire van szüksége ahhoz, hogy a hangosítástechnikai rendszere valóban professzionális szinten működjön? A SAL HVP 28 hangváltó olyan megoldást kínál, amely kimagasló teljesítménnyel és precíziós hangvezérléssel biztosítja a zenei élmény magasabb szintjét, akár nagy teljesítményű alkalmazásokban is.
600 W teljesítmény professzionális szinten
A SAL HVP 28 hangváltó lenyűgöző, 600 wattos terhelhetőséggel rendelkezik, ami garantálja, hogy nagy hangerőnél is stabilan és torzításmentesen működik. A 2800 Hz keresztezési frekvencia pontosan elkülöníti a mély és magas hangokat, így mindkét tartomány a megfelelő hangszóróra kerül, biztosítva az optimális hangzást.
Kiemelkedő precizitás a hangelosztásban
A hangváltó külön figyelmet fordít a levágási meredekségekre, melyek közül a mély tartomány 12 dB/oktáv, míg a magas frekvenciák 18 dB/oktáv értékűek. Ez a megoldás rendkívül sima átmenetet és részletgazdag hangzást eredményez, különösen professzionális alkalmazásokban.
Professzionális hangosítástechnikai megoldás
A SAL HVP 28 kimondottan hangosítástechnikai alkalmazásokra készült, így ideális választás nagyobb rendezvényekhez, színpadi előadásokhoz vagy akár stúdiókörnyezetben történő használatra. Az 8 Ohm-os impedanciabiztosítja, hogy széles körű kompatibilitással rendelkezzen, bármilyen szabványos hangszóróval tökéletesen együttműködik.
Kompakt méret, nagy teljesítmény
Bár teljesítménye lenyűgöző, a hangváltó mindössze 150 x 28 x 95 mm méretű, ami egyszerű és gyors telepítést tesz lehetővé még szűk helyeken is. Robusztus kialakítása és strapabíró anyaghasználata hosszú élettartamot garantál.
Tökéletes választás zene- és rendezvénytechnikai alkalmazásokhoz
A SAL HVP 28 hangváltóval a hangrendszer precíziója és teljesítménye garantált. Akár koncertet hangosít, akár stúdióban dolgozik, ez a professzionális eszköz minden zenei igényét kielégíti.
Válassza a kompromisszummentes hangminőséget!
Ne érje be kevesebbel – rendeljen most SAL HVP 28 hangváltót, és tapasztalja meg a professzionális hangminőség minden előnyét! Ez az eszköz az Ön rendszerének nélkülözhetetlen része lesz.</t>
        </is>
      </c>
    </row>
    <row r="1451">
      <c r="A1451" s="3" t="inlineStr">
        <is>
          <t>HV 328</t>
        </is>
      </c>
      <c r="B1451" s="2" t="inlineStr">
        <is>
          <t>SAL HV 328 hangváltó, 200 W, 3 utas, 500 Hz/3000 Hz keresztezési frekvencia</t>
        </is>
      </c>
      <c r="C1451" s="1" t="n">
        <v>18790.0</v>
      </c>
      <c r="D1451" s="7" t="n">
        <f>HYPERLINK("https://www.somogyi.hu/product/sal-hv-328-hangvalto-200-w-3-utas-500-hz-3000-hz-keresztezesi-frekvencia-hv-328-4301","https://www.somogyi.hu/product/sal-hv-328-hangvalto-200-w-3-utas-500-hz-3000-hz-keresztezesi-frekvencia-hv-328-4301")</f>
        <v>0.0</v>
      </c>
      <c r="E1451" s="7" t="n">
        <f>HYPERLINK("https://www.somogyi.hu/data/img/product_main_images/small/04301.jpg","https://www.somogyi.hu/data/img/product_main_images/small/04301.jpg")</f>
        <v>0.0</v>
      </c>
      <c r="F1451" s="2" t="inlineStr">
        <is>
          <t>5998312737644</t>
        </is>
      </c>
      <c r="G1451" s="4" t="inlineStr">
        <is>
          <t>Hogyan hozhatja ki a legtöbbet hangrendszeréből kompromisszumok nélkül? A SAL HV 328 hangváltó tökéletes választás, ha kiemelkedő hangminőséget és precíz hangelosztást szeretne elérni akár otthoni, akár professzionális környezetben.
Kiváló teljesítmény háromutas rendszerben
A SAL HV 328 hangváltó 200 wattos maximális terhelhetősége lehetővé teszi, hogy még nagy teljesítményű hangrendszerekhez is megbízhatóan használható legyen. A háromutas kialakításnak köszönhetően külön kezeli a mély, közép és magas frekvenciákat, biztosítva az egyenletes és tiszta hangzást. A 500 Hz és 3000 Hz keresztezési frekvencia gondoskodik arról, hogy minden hangszóró pontosan azt a frekvenciatartományt kapja, amelyre optimalizálva lett.
Rugalmasság és testre szabhatóság
Az átkapcsolható kimeneti szintek lehetőséget nyújtanak a hangzás finomhangolására: a magas hangok szintje 0 és -3 dB között állítható, míg a középfrekvenciák szintje 0 és -2 dB között szabályozható. Ez a funkció különösen előnyös, ha a hangrendszert különböző akusztikai környezetekben használja, vagy egyedi hangzási igényei vannak.
Műszaki megbízhatóság és egyszerű beépítés
A hangváltó 8 Ohm impedanciával rendelkezik, amely kompatibilissé teszi a legtöbb szabványos hangszóróval. A 12 dB/oktáv levágási meredekség biztosítja a pontos és zökkenőmentes frekvenciaátmenetet, miközben megőrzi a hangminőséget. Kompakt mérete – mindössze 160 x 30 x 137 mm – megkönnyíti az eszköz telepítését még szűkebb helyeken is.
Tökéletes választás bármilyen zenei stílushoz
Akár dinamikus zenét hallgat, akár finom részletekre vágyik, a SAL HV 328 biztosítja a teljes spektrumú hangzást. A háromutas rendszer és az állítható szintek gondoskodnak arról, hogy minden zenei stílus életre keljen a hangszórókon keresztül.
Válassza a kifogástalan hangzást!
Rendelje meg most a SAL HV 328 hangváltót, és élvezze a professzionális hangminőséget otthonában vagy munkája során. Ez az eszköz az első lépés a zenei élmény új szintre emeléséhez!</t>
        </is>
      </c>
    </row>
    <row r="1452">
      <c r="A1452" s="3" t="inlineStr">
        <is>
          <t>HV 228</t>
        </is>
      </c>
      <c r="B1452" s="2" t="inlineStr">
        <is>
          <t>SAL HV 228 hangváltó, 200 W, 2 utas, 3000 Hz keresztezési frekvencia</t>
        </is>
      </c>
      <c r="C1452" s="1" t="n">
        <v>9590.0</v>
      </c>
      <c r="D1452" s="7" t="n">
        <f>HYPERLINK("https://www.somogyi.hu/product/sal-hv-228-hangvalto-200-w-2-utas-3000-hz-keresztezesi-frekvencia-hv-228-4300","https://www.somogyi.hu/product/sal-hv-228-hangvalto-200-w-2-utas-3000-hz-keresztezesi-frekvencia-hv-228-4300")</f>
        <v>0.0</v>
      </c>
      <c r="E1452" s="7" t="n">
        <f>HYPERLINK("https://www.somogyi.hu/data/img/product_main_images/small/04300.jpg","https://www.somogyi.hu/data/img/product_main_images/small/04300.jpg")</f>
        <v>0.0</v>
      </c>
      <c r="F1452" s="2" t="inlineStr">
        <is>
          <t>5998312737637</t>
        </is>
      </c>
      <c r="G1452" s="4" t="inlineStr">
        <is>
          <t>Hogyan optimalizálhatja hangrendszere teljesítményét a legjobb zenei élmény érdekében? A SAL HV 228 hangváltó a professzionális hangzás szerelmeseinek tervezett, kiváló minőségű megoldás, amely garantálja a tökéletes hangelosztást és tiszta, precíz hangzást.
Kiemelkedő teljesítmény professzionális igényekhez
A SAL HV 228 hangváltó 200 wattos maximális terhelhetősége lehetővé teszi, hogy nagyobb teljesítményű hangrendszerekben is könnyedén alkalmazható legyen. A 3000 Hz keresztezési frekvencia gondoskodik a pontos hangelosztásról a mély- és magassugárzók között, míg a 12 dB/oktáv levágási meredekség garantálja a zökkenőmentes átmenetet a különböző hangfrekvenciák között.
Személyre szabható beállítások
Az átkapcsolható kimeneti szint lehetőséget kínál arra, hogy a magas hangok szintjét igényeinek megfelelően szabályozza, 0 vagy -3 dB értékek között. Ez a funkció különösen hasznos lehet, ha a hangrendszerét különböző akusztikai környezetekben használja.
Kiváló kompatibilitás és praktikus méret
A hangváltó 8 Ohm hangszóró impedanciával kompatibilis, így széles körben alkalmazható különböző hangszórótípusokhoz. Kompakt méretének köszönhetően – mindössze 120 x 28 x 95 mm – könnyedén beépíthető akár kisebb hangrendszerekbe is, anélkül hogy helyszűkével kellene számolnia.
A tökéletes hangzásért otthon és színpadon
Legyen szó házimozi-rendszerről, hangstúdióról vagy élő zenei előadásokról, a SAL HV 228 hangváltó megbízható megoldást nyújt a hangminőség optimalizálására. Az intelligens tervezés és a kiváló anyaghasználat lehetővé teszi, hogy minden részletet hallhasson, miközben maximális teljesítményt nyújt hangrendszeréből.
Válassza a kompromisszumok nélküli hangminőséget!
Rendelje meg a SAL HV 228 hangváltót még ma, és élvezze a zenei részletek gazdagságát és tisztaságát minden alkalommal! Tökéletes választás azoknak, akik nem elégednek meg az átlagos hangzással.</t>
        </is>
      </c>
    </row>
    <row r="1453">
      <c r="A1453" s="6" t="inlineStr">
        <is>
          <t xml:space="preserve">   Hangtechnika / Hangtechnikai csatlakozó</t>
        </is>
      </c>
      <c r="B1453" s="6" t="inlineStr">
        <is>
          <t/>
        </is>
      </c>
      <c r="C1453" s="6" t="inlineStr">
        <is>
          <t/>
        </is>
      </c>
      <c r="D1453" s="6" t="inlineStr">
        <is>
          <t/>
        </is>
      </c>
      <c r="E1453" s="6" t="inlineStr">
        <is>
          <t/>
        </is>
      </c>
      <c r="F1453" s="6" t="inlineStr">
        <is>
          <t/>
        </is>
      </c>
      <c r="G1453" s="6" t="inlineStr">
        <is>
          <t/>
        </is>
      </c>
    </row>
    <row r="1454">
      <c r="A1454" s="3" t="inlineStr">
        <is>
          <t>SL 6MG</t>
        </is>
      </c>
      <c r="B1454" s="2" t="inlineStr">
        <is>
          <t>SAL SL 6MG hangfalcsatlakozó, 2 banáncsatlakozó, 105 mm átmérő</t>
        </is>
      </c>
      <c r="C1454" s="1" t="n">
        <v>1390.0</v>
      </c>
      <c r="D1454" s="7" t="n">
        <f>HYPERLINK("https://www.somogyi.hu/product/sal-sl-6mg-hangfalcsatlakozo-2-banancsatlakozo-105-mm-atmero-sl-6mg-2596","https://www.somogyi.hu/product/sal-sl-6mg-hangfalcsatlakozo-2-banancsatlakozo-105-mm-atmero-sl-6mg-2596")</f>
        <v>0.0</v>
      </c>
      <c r="E1454" s="7" t="n">
        <f>HYPERLINK("https://www.somogyi.hu/data/img/product_main_images/small/02596.jpg","https://www.somogyi.hu/data/img/product_main_images/small/02596.jpg")</f>
        <v>0.0</v>
      </c>
      <c r="F1454" s="2" t="inlineStr">
        <is>
          <t>5998312729113</t>
        </is>
      </c>
      <c r="G1454" s="4" t="inlineStr">
        <is>
          <t>Hogyan biztosíthatja, hogy hangrendszere csatlakozásai a lehető legjobb minőségűek legyenek? A SAL SL 6MG hangfalcsatlakozó tökéletes választás, ha megbízható és kiváló minőségű kapcsolatot szeretne kialakítani audio eszközei között, miközben a maximális jelátvitelre törekszik.
Kiemelkedő teljesítmény aranyozott csatlakozókkal
A SAL SL 6MG hangfalcsatlakozó két darab aranyozott fém banáncsatlakozóval van felszerelve, amelyek optimális vezetőképességet és kiváló jelátvitelt biztosítanak. Az aranyozás nemcsak a hangminőség javításában játszik szerepet, hanem ellenáll a korróziónak, így hosszú távon is megbízható kapcsolódást nyújt.
Egyszerű és megbízható csatlakoztatás
A csatlakozó banán + csavaros csatlakozási lehetőséget kínál, amely egyszerű, de stabil bekötést tesz lehetővé. A bekötési módot forrasztással is biztosíthatja, ami még nagyobb stabilitást nyújt az eszközök összekapcsolásában. Az Ø105 mm-es átmérő kompakt és elegáns megjelenést biztosít, így bármilyen hangrendszerbe esztétikusan illeszkedik.
Kétpólusú kialakítás a precíz hangzásért
A csatlakozó kétpólusú kivitelének köszönhetően a hangjel precíz elosztása biztosított, ami különösen fontos a tiszta és részletgazdag hangélmény érdekében. Ez a megoldás ideális választás sztereó hangrendszerekhez és egyéb audio alkalmazásokhoz.
Tökéletes választás audiofilek és hangtechnikai szakemberek számára
A SAL SL 6MG hangfalcsatlakozó ideális választás otthoni hifi rendszerekhez, professzionális hangtechnikai alkalmazásokhoz vagy akár stúdiókörnyezetbe is. Az aranyozott csatlakozók biztosítják, hogy a zene minden részlete pontosan és tisztán szólaljon meg.
Válassza a minőséget és a megbízhatóságot!
Ne érje be kevesebbel! Rendelje meg a SAL SL 6MG hangfalcsatlakozót, és tapasztalja meg a professzionális csatlakozás előnyeit. Biztosítsa a tökéletes hangélményt egyszerűen és megbízhatóan!</t>
        </is>
      </c>
    </row>
    <row r="1455">
      <c r="A1455" s="3" t="inlineStr">
        <is>
          <t>SL 5</t>
        </is>
      </c>
      <c r="B1455" s="2" t="inlineStr">
        <is>
          <t>SAL SL 5 hangszóródugó, 2 pólus, rugós, csavarozható, törésgátló</t>
        </is>
      </c>
      <c r="C1455" s="1" t="n">
        <v>249.0</v>
      </c>
      <c r="D1455" s="7" t="n">
        <f>HYPERLINK("https://www.somogyi.hu/product/sal-sl-5-hangszorodugo-2-polus-rugos-csavarozhato-toresgatlo-sl-5-4270","https://www.somogyi.hu/product/sal-sl-5-hangszorodugo-2-polus-rugos-csavarozhato-toresgatlo-sl-5-4270")</f>
        <v>0.0</v>
      </c>
      <c r="E1455" s="7" t="n">
        <f>HYPERLINK("https://www.somogyi.hu/data/img/product_main_images/small/04270.jpg","https://www.somogyi.hu/data/img/product_main_images/small/04270.jpg")</f>
        <v>0.0</v>
      </c>
      <c r="F1455" s="2" t="inlineStr">
        <is>
          <t>5998312708958</t>
        </is>
      </c>
      <c r="G1455" s="4" t="inlineStr">
        <is>
          <t>Hogyan érheti el, hogy hangrendszere csatlakozói mindig megbízhatóan működjenek, még intenzív használat mellett is? A SAL SL 5 hangszóródugó tökéletes választás, ha fontos a stabil csatlakozás és a hosszú élettartam.
Tökéletes csatlakozás minden alkalommal
A SAL SL 5 hangszóródugó két pólusú kialakítása precíz és stabil csatlakozást biztosít, amely elengedhetetlen a zavartalan hangzás érdekében. A rugós rögzítésű, csavarozható bekötési mechanizmus lehetővé teszi az egyszerű és biztonságos kábelezést, így garantálja a megbízható működést akár professzionális, akár otthoni rendszerekben.
Tartós és praktikus kialakítás
A dugó törésgátlóval van ellátva, amely védi a csatlakozókat és kábeleket a mechanikai sérülésektől, meghosszabbítva azok élettartamát. Ez különösen fontos olyan környezetekben, ahol a kábelek rendszeres mozgásnak vannak kitéve. Az időtálló, masszív anyaghasználatnak köszönhetően a SAL SL 5 hosszú távon is megbízható.
Könnyű szerelhetőség és maximális biztonság
A csavaros bekötési lehetőség gyors szerelést tesz lehetővé, miközben a csatlakozás rendkívül stabil marad. A rugós mechanizmus hozzájárul a biztonságos és pontos rögzítéshez, amely minimalizálja a kapcsolat elvesztésének kockázatát.
Ideális választás minden hangrendszerhez
Legyen szó professzionális hangosításról vagy otthoni felhasználásról, a SAL SL 5 hangszóródugó minden igényt kielégít. Könnyen szerelhető, rendkívül tartós, és biztosítja a zavartalan működést bármilyen hangrendszerben.
Ne hagyja, hogy egy gyenge csatlakozó veszélyeztesse hangrendszere teljesítményét!
Válassza a SAL SL 5 hangszóródugót, amely garantálja a professzionális csatlakozást és a hosszú távú megbízhatóságot. Rendelje meg még ma, és élvezze a tökéletes hangzást minden alkalommal!</t>
        </is>
      </c>
    </row>
    <row r="1456">
      <c r="A1456" s="3" t="inlineStr">
        <is>
          <t>SPK 900</t>
        </is>
      </c>
      <c r="B1456" s="2" t="inlineStr">
        <is>
          <t>SAL SPK 900 speakon dugó, 4 pólus, csavarozható, törésgátló</t>
        </is>
      </c>
      <c r="C1456" s="1" t="n">
        <v>1890.0</v>
      </c>
      <c r="D1456" s="7" t="n">
        <f>HYPERLINK("https://www.somogyi.hu/product/sal-spk-900-speakon-dugo-4-polus-csavarozhato-toresgatlo-spk-900-4202","https://www.somogyi.hu/product/sal-spk-900-speakon-dugo-4-polus-csavarozhato-toresgatlo-spk-900-4202")</f>
        <v>0.0</v>
      </c>
      <c r="E1456" s="7" t="n">
        <f>HYPERLINK("https://www.somogyi.hu/data/img/product_main_images/small/04202.jpg","https://www.somogyi.hu/data/img/product_main_images/small/04202.jpg")</f>
        <v>0.0</v>
      </c>
      <c r="F1456" s="2" t="inlineStr">
        <is>
          <t>5998312737170</t>
        </is>
      </c>
      <c r="G1456" s="4" t="inlineStr">
        <is>
          <t>Hogyan biztosíthatja, hogy hangrendszere megbízhatóan és tartósan csatlakozzon minden alkalommal? A SAL SPK 900 speakon dugó ideális választás professzionális hangosítási rendszerekhez, ahol a stabil és gyors csatlakoztatás kulcsfontosságú.
Prémium kivitel a megbízható kapcsolódásért
A SAL SPK 900 speakon dugó 4 pólusú csatlakozása lehetővé teszi a pontos és biztonságos jelátvitelt, amely elengedhetetlen a tökéletes hangzás érdekében. Az egyszerű, csavarozható kialakítás gyors és stabil bekötést biztosít, megkönnyítve a szerelési folyamatot. A megbízható rögzítés minimalizálja a kilazulás lehetőségét még intenzív használat mellett is.
Törésgátlóval a hosszú élettartamért
A termék beépített törésgátlóval van ellátva, amely megakadályozza a kábelek sérülését és biztosítja a hosszú távú használhatóságot. Ez a funkció különösen fontos olyan alkalmazásokban, ahol a kábelek és csatlakozók nagy igénybevételnek vannak kitéve, például színpadi vagy rendezvénytechnikai környezetben.
Egyszerű és biztonságos bekötés
A csavaros bekötési lehetőség kényelmes megoldást kínál, amely lehetővé teszi a gyors szerelést, miközben a csatlakozás rendkívül stabil marad. Bár a csatlakozó nem aranyozott, a kialakítás mégis kiváló vezetőképességet nyújt, megbízható kapcsolatot biztosítva a hangrendszer elemei között.
Ideális választás professzionális hangrendszerekhez
Legyen szó színpadi felhasználásról vagy fix telepítésű hangosításról, a SAL SPK 900 speakon dugó minden igénynek megfelel. Robusztus kialakításának köszönhetően hosszú távon is megbízható, miközben egyszerűen és gyorsan szerelhető.
Válassza a minőséget és megbízhatóságot!
Fektessen a professzionális csatlakozásba! Rendelje meg a SAL SPK 900 speakon dugót, és tapasztalja meg a könnyű szerelhetőség, valamint a stabil és tartós csatlakozás előnyeit. Biztosítsa rendszere kifogástalan működését minden helyzetben!</t>
        </is>
      </c>
    </row>
    <row r="1457">
      <c r="A1457" s="3" t="inlineStr">
        <is>
          <t>S 1090X</t>
        </is>
      </c>
      <c r="B1457" s="2" t="inlineStr">
        <is>
          <t>SAL S 1090X speakon dugó, 4 pólusú, lengő, törésgátló</t>
        </is>
      </c>
      <c r="C1457" s="1" t="n">
        <v>2090.0</v>
      </c>
      <c r="D1457" s="7" t="n">
        <f>HYPERLINK("https://www.somogyi.hu/product/sal-s-1090x-speakon-dugo-4-polusu-lengo-toresgatlo-s-1090x-5283","https://www.somogyi.hu/product/sal-s-1090x-speakon-dugo-4-polusu-lengo-toresgatlo-s-1090x-5283")</f>
        <v>0.0</v>
      </c>
      <c r="E1457" s="7" t="n">
        <f>HYPERLINK("https://www.somogyi.hu/data/img/product_main_images/small/05283.jpg","https://www.somogyi.hu/data/img/product_main_images/small/05283.jpg")</f>
        <v>0.0</v>
      </c>
      <c r="F1457" s="2" t="inlineStr">
        <is>
          <t>5998312746707</t>
        </is>
      </c>
      <c r="G1457" s="4" t="inlineStr">
        <is>
          <t>Hogyan érheti el a maximális stabilitást és megbízhatóságot a hangrendszerei csatlakoztatásában? A SAL S 1090X speakon dugó professzionális megoldást kínál a zavartalan és biztonságos csatlakoztatáshoz, akár nagy teljesítményű rendszereknél is.
Kiemelkedő megbízhatóság a professzionális audio csatlakozók világában
A SAL S 1090X speakon dugó 4 pólusú kialakításával tökéletes választás, ha erősítők és hangfalak közötti precíz kapcsolatot szeretne biztosítani. A csavarozható bekötési megoldás egyszerű és biztonságos kábelrögzítést tesz lehetővé, míg a beépített törésgátló gondoskodik a hosszú távú használatról és a mechanikai sérülések elleni védelemről.
A SAL S 1090X speakon dugó főbb jellemzői
4 pólusú kialakítás: Ideális professzionális hangosítási rendszerekhez, megbízható csatlakozást biztosít.
Csavarozható bekötés: Stabil és biztonságos kábelrögzítést kínál, amely egyszerűen beállítható.
Törésgátló funkció: Hosszabb élettartamot garantál a kábelek mechanikai sérüléseinek minimalizálásával.
Kompakt kialakítás: A praktikus méretnek köszönhetően könnyedén használható szűk helyeken is.
Bliszteres csomagolás: Tiszta és biztonságos tárolást tesz lehetővé a szállítás során.
Tökéletes választás mindennapi és professzionális alkalmazásokhoz
Akár otthoni, akár professzionális környezetben használja, a SAL S 1090X speakon dugó megbízható partner lesz az audio rendszerek összekapcsolásában. Kiemelkedő stabilitást és egyszerű kezelhetőséget biztosít, miközben gondoskodik a kábelek és a csatlakozók hosszú élettartamáról.
Tegyen egy lépést a zökkenőmentes hangzás felé! Rendelje meg most a SAL S 1090X speakon dugót, és élvezze a stabil csatlakoztatás nyújtotta előnyöket, akár otthon, akár professzionális környezetben!</t>
        </is>
      </c>
    </row>
    <row r="1458">
      <c r="A1458" s="3" t="inlineStr">
        <is>
          <t>S 24</t>
        </is>
      </c>
      <c r="B1458" s="2" t="inlineStr">
        <is>
          <t>SAL S 24 mikrofonaljzat, XLR, 3 pólus, lengő</t>
        </is>
      </c>
      <c r="C1458" s="1" t="n">
        <v>749.0</v>
      </c>
      <c r="D1458" s="7" t="n">
        <f>HYPERLINK("https://www.somogyi.hu/product/sal-s-24-mikrofonaljzat-xlr-3-polus-lengo-s-24-1822","https://www.somogyi.hu/product/sal-s-24-mikrofonaljzat-xlr-3-polus-lengo-s-24-1822")</f>
        <v>0.0</v>
      </c>
      <c r="E1458" s="7" t="n">
        <f>HYPERLINK("https://www.somogyi.hu/data/img/product_main_images/small/01822.jpg","https://www.somogyi.hu/data/img/product_main_images/small/01822.jpg")</f>
        <v>0.0</v>
      </c>
      <c r="F1458" s="2" t="inlineStr">
        <is>
          <t>5998312703458</t>
        </is>
      </c>
      <c r="G1458" s="4" t="inlineStr">
        <is>
          <t>Hogyan érheti el a zökkenőmentes és megbízható csatlakozást mikrofonjai számára, még a legintenzívebb használat során is? A SAL S 24 mikrofonaljzat kiváló megoldást nyújt, amely megbízhatóságot és egyszerű kezelhetőséget kínál minden helyzetben.
Megbízhatóság minden helyzetben
A SAL S 24 mikrofonaljzat 3 pólusú kialakítása garantálja a stabil csatlakozást és a kiváló hangminőséget. A lengő típusú aljzat rendkívül praktikus megoldás, különösen akkor, ha mobilis vagy helyhez kötött rendszerekhez keres megbízható alkatrészt.
Időtálló és praktikus kialakítás
Az aljzat tartós anyagokból készült, hogy ellenálljon a mindennapi használat során fellépő igénybevételnek. Bár aranyozott csatlakozóval nem rendelkezik, forrasztható kialakítása hosszú távú és stabil kapcsolatot biztosít, amely tökéletesen illeszkedik professzionális vagy hobbi célú rendszerekhez.
Alkalmazási lehetőségek
Legyen szó színpadi hangosításról, stúdiófelvételekről vagy házi hangrendszerek telepítéséről, a SAL S 24 mikrofonaljzat kiváló választás. Kompatibilitása és egyszerű használata révén bármilyen XLR-alapú mikrofoncsatlakozáshoz ideális.
Miért válassza a SAL S 24 mikrofonaljzatot?
Mert ez a termék nemcsak megbízhatóságot nyújt, hanem könnyű szerelhetőségével és tartósságával is kitűnik a piacon elérhető hasonló termékek közül. Ha fontos Önnek a hangminőség és a stabil csatlakozás, ez az aljzat tökéletes választás.
Ne érje be kevesebbel, ha hangrendszeréről van szó! Válassza a SAL S 24 mikrofonaljzatot, és élvezze a problémamentes működést minden alkalommal. Rendelje meg még ma, és tapasztalja meg a minőségi csatlakozás előnyeit!</t>
        </is>
      </c>
    </row>
    <row r="1459">
      <c r="A1459" s="3" t="inlineStr">
        <is>
          <t>S 23</t>
        </is>
      </c>
      <c r="B1459" s="2" t="inlineStr">
        <is>
          <t>SAL S 23 mikrofondugó, XLR, 3 pólus, lengő</t>
        </is>
      </c>
      <c r="C1459" s="1" t="n">
        <v>659.0</v>
      </c>
      <c r="D1459" s="7" t="n">
        <f>HYPERLINK("https://www.somogyi.hu/product/sal-s-23-mikrofondugo-xlr-3-polus-lengo-s-23-1821","https://www.somogyi.hu/product/sal-s-23-mikrofondugo-xlr-3-polus-lengo-s-23-1821")</f>
        <v>0.0</v>
      </c>
      <c r="E1459" s="7" t="n">
        <f>HYPERLINK("https://www.somogyi.hu/data/img/product_main_images/small/01821.jpg","https://www.somogyi.hu/data/img/product_main_images/small/01821.jpg")</f>
        <v>0.0</v>
      </c>
      <c r="F1459" s="2" t="inlineStr">
        <is>
          <t>5998312703441</t>
        </is>
      </c>
      <c r="G1459" s="4" t="inlineStr">
        <is>
          <t>Hogyan biztosíthatja a megbízható csatlakozást mikrofonjaihoz, miközben a legjobb hangminőséget élvezi? A SAL S 23 mikrofondugó a professzionális és hobbi felhasználók igényeit is kielégíti, garantálva a precíz, stabil csatlakozást minden alkalommal.
Kiemelkedő csatlakozási megoldás
A SAL S 23 mikrofondugó 3 pólusú kivitelének köszönhetően ideális választás, ha megbízható és zökkenőmentes hangátvitelt szeretne. Ez a lengő típusú dugó forrasztható bekötéssel rendelkezik, amely hosszú távú stabilitást biztosít, így akár gyakori használat mellett is tökéletesen működik.
Időtálló és praktikus kivitel
A SAL S 23 mikrofondugó masszív anyaghasználatának köszönhetően ellenáll az intenzív igénybevételnek. Ez különösen fontos olyan helyzetekben, ahol a felszerelés gyakori csatlakoztatást és szétszerelést igényel, például színpadi alkalmazásoknál vagy stúdiófelvételeknél.
Sokoldalú alkalmazási lehetőségek
Legyen szó élő fellépésekről, hangstúdiós munkákról vagy akár egy házi hangrendszer fejlesztéséről, a SAL S 23 mikrofondugó minden igényt kielégít. Kompatibilitása számos mikrofontípussal és hangrendszerrel teszi ideális választássá.
Miért érdemes választani a SAL S 23 mikrofondugót?
Ez a termék a megbízhatóság, a minőség és a praktikum tökéletes kombinációja. Ha Ön számára fontos a stabil csatlakozás és a hosszú élettartam, a SAL S 23 mikrofondugó nem fog csalódást okozni.
Tegye egyszerűvé és biztonságossá a mikrofonok csatlakoztatását! Rendelje meg most a SAL S 23 mikrofondugót, és élvezze a zökkenőmentes működést minden alkalommal!</t>
        </is>
      </c>
    </row>
    <row r="1460">
      <c r="A1460" s="3" t="inlineStr">
        <is>
          <t>SL 2ER</t>
        </is>
      </c>
      <c r="B1460" s="2" t="inlineStr">
        <is>
          <t>SAL SL 2ER hangfalcsatlakozó, 2 pólus, rugós, 52 x 22 mm</t>
        </is>
      </c>
      <c r="C1460" s="1" t="n">
        <v>179.0</v>
      </c>
      <c r="D1460" s="7" t="n">
        <f>HYPERLINK("https://www.somogyi.hu/product/sal-sl-2er-hangfalcsatlakozo-2-polus-rugos-52-x-22-mm-sl-2er-1875","https://www.somogyi.hu/product/sal-sl-2er-hangfalcsatlakozo-2-polus-rugos-52-x-22-mm-sl-2er-1875")</f>
        <v>0.0</v>
      </c>
      <c r="E1460" s="7" t="n">
        <f>HYPERLINK("https://www.somogyi.hu/data/img/product_main_images/small/01875.jpg","https://www.somogyi.hu/data/img/product_main_images/small/01875.jpg")</f>
        <v>0.0</v>
      </c>
      <c r="F1460" s="2" t="inlineStr">
        <is>
          <t>5998312704240</t>
        </is>
      </c>
      <c r="G1460" s="4" t="inlineStr">
        <is>
          <t>Megbízható és praktikus csatlakozási megoldást keres hangfalaihoz? A SAL SL 2ER hangfalcsatlakozó tökéletes választás, ha egyszerű, ugyanakkor stabil csatlakoztatást szeretne elérni hangrendszereiben.
Praktikus és tartós csatlakozási megoldás
A SAL SL 2ER hangfalcsatlakozó 2 pólusú rugós kialakításával biztosítja a gyors és egyszerű csatlakoztatást, anélkül hogy bonyolult szerszámokat kellene használnia. A csiptetős csatlakozás nemcsak időt takarít meg, hanem rendkívül praktikus, különösen olyan helyeken, ahol a gyors szerelés elengedhetetlen. A termék kompakt mérete, mindössze 52 x 22 mm, ideálissá teszi szűkebb helyekre történő telepítéshez is.
Kiemelkedő specifikációk a hatékony csatlakoztatás érdekében
2 pólusú rugós csatlakozó: Egyszerű, mégis stabil megoldást kínál a hangszórók csatlakoztatására.
Csiptetős csatlakozás: Könnyen használható, és időt takarít meg a telepítés során.
Forrasztható bekötés: Biztosítja a hosszú távú megbízhatóságot és a precíz kapcsolatot.
Kompakt méret: 52 x 22 mm, amely lehetővé teszi a termék alkalmazását kisebb helyeken is.
Aranyozott csatlakozó nélkül: Költséghatékony megoldást kínál a hagyományos alkalmazásokhoz.
Tartós és megbízható anyaghasználat
A forrasztható kialakítás és a minőségi anyagok biztosítják a hosszú élettartamot és a stabil működést. A rugós mechanizmus megkönnyíti a vezetékek rögzítését, ugyanakkor erős tartást biztosít, amely ellenáll a mechanikai behatásoknak.
Miért válassza a SAL SL 2ER hangfalcsatlakozót?
Ez a termék ideális választás mind otthoni, mind professzionális audio rendszerekhez. A praktikus méret, a rugós csatlakozás és a könnyű bekötés kombinációja garantálja, hogy gyorsan és hatékonyan végezhesse el a hangrendszer szerelését vagy karbantartását.
Hozza ki a legtöbbet hangrendszereiből! Rendelje meg a SAL SL 2ER hangfalcsatlakozót, és élvezze a gyors telepítés és a megbízható működés előnyeit! Tökéletes választás azoknak, akik egyszerű, mégis hatékony megoldást keresnek.</t>
        </is>
      </c>
    </row>
    <row r="1461">
      <c r="A1461" s="6" t="inlineStr">
        <is>
          <t xml:space="preserve">   Hangtechnika / Hangtechnikai kiegészítő</t>
        </is>
      </c>
      <c r="B1461" s="6" t="inlineStr">
        <is>
          <t/>
        </is>
      </c>
      <c r="C1461" s="6" t="inlineStr">
        <is>
          <t/>
        </is>
      </c>
      <c r="D1461" s="6" t="inlineStr">
        <is>
          <t/>
        </is>
      </c>
      <c r="E1461" s="6" t="inlineStr">
        <is>
          <t/>
        </is>
      </c>
      <c r="F1461" s="6" t="inlineStr">
        <is>
          <t/>
        </is>
      </c>
      <c r="G1461" s="6" t="inlineStr">
        <is>
          <t/>
        </is>
      </c>
    </row>
    <row r="1462">
      <c r="A1462" s="3" t="inlineStr">
        <is>
          <t>SG 13</t>
        </is>
      </c>
      <c r="B1462" s="2" t="inlineStr">
        <is>
          <t>SAL SG 13 membránszegély, 130 mm</t>
        </is>
      </c>
      <c r="C1462" s="1" t="n">
        <v>859.0</v>
      </c>
      <c r="D1462" s="7" t="n">
        <f>HYPERLINK("https://www.somogyi.hu/product/sal-sg-13-membranszegely-130-mm-sg-13-2997","https://www.somogyi.hu/product/sal-sg-13-membranszegely-130-mm-sg-13-2997")</f>
        <v>0.0</v>
      </c>
      <c r="E1462" s="7" t="n">
        <f>HYPERLINK("https://www.somogyi.hu/data/img/product_main_images/small/02997.jpg","https://www.somogyi.hu/data/img/product_main_images/small/02997.jpg")</f>
        <v>0.0</v>
      </c>
      <c r="F1462" s="2" t="inlineStr">
        <is>
          <t>5998312733219</t>
        </is>
      </c>
      <c r="G1462" s="4" t="inlineStr">
        <is>
          <t>Hogyan állíthatja vissza régi hangszórója tökéletes hangzását egyszerűen és gyorsan? A SAL SG 13 membránszegély a 130 mm-es hangszórók tökéletes kiegészítője, amely lehetővé teszi a sérült vagy elöregedett szegélyek hatékony cseréjét. Ez a termék megoldást nyújt mindazoknak, akik szeretnék visszahozni hangszóróik eredeti teljesítményét anélkül, hogy új eszközöket kellene vásárolniuk.
Kiváló minőségű anyagok a tartósság érdekében
A membránszegély szivacs alapanyaga rugalmas és ellenálló, amely hosszú távon is megőrzi eredeti formáját és funkcióját. A 130 mm-es átmérő tökéletes illeszkedést biztosít, így a cserét követően a hangszóró újra tiszta, torzításmentes hangzást nyújt. A fekete szín esztétikus és időtálló megjelenést kölcsönöz a hangszóróknak, amely bármilyen típushoz harmonikusan illeszkedik.
Könnyű alkalmazás és univerzális kompatibilitás
A SAL SG 13 membránszegély precízen illeszkedik minden 130 mm-es átmérőjű hangszóróhoz. Az egyszerű telepítési folyamat révén még a kevésbé tapasztalt felhasználók is könnyedén elvégezhetik a cserét. Ez a termék kiválóan alkalmas otthoni hangszórók, házimozi-rendszerek vagy akár professzionális berendezések felújítására is.
Gazdaságos és fenntartható választás
Egy új hangszóró vásárlása helyett a SAL SG 13 membránszegély lehetőséget kínál a régi, jól bevált eszközök megmentésére. Ez nemcsak költséghatékony megoldás, hanem hozzájárul az elektronikai hulladék csökkentéséhez is, így környezettudatos döntés is egyben.
Miért érdemes ezt a terméket választani?
A SAL SG 13 membránszegély ötvözi a megbízhatóságot, a könnyű használatot és a kiváló hangzást. A szivacs anyag rugalmassága és tartóssága biztosítja, hogy hangszórója hosszú ideig megőrizze optimális teljesítményét. Legyen szó zenehallgatásról, filmnézésről vagy más hangosítási célról, ez a termék garantáltan megfelel az elvárásainak.
Adjon új esélyt hangszórójának a SAL SG 13 membránszegéllyel, és élvezze újra a kristálytiszta hangzást!</t>
        </is>
      </c>
    </row>
    <row r="1463">
      <c r="A1463" s="3" t="inlineStr">
        <is>
          <t>HT 304</t>
        </is>
      </c>
      <c r="B1463" s="2" t="inlineStr">
        <is>
          <t>SAL HT 304 felfogatófül hangszórórácshoz, G típus, 8 db/ csomag</t>
        </is>
      </c>
      <c r="C1463" s="1" t="n">
        <v>89.0</v>
      </c>
      <c r="D1463" s="7" t="n">
        <f>HYPERLINK("https://www.somogyi.hu/product/sal-ht-304-felfogatoful-hangszororacshoz-g-tipus-8-db-csomag-ht-304-2666","https://www.somogyi.hu/product/sal-ht-304-felfogatoful-hangszororacshoz-g-tipus-8-db-csomag-ht-304-2666")</f>
        <v>0.0</v>
      </c>
      <c r="E1463" s="7" t="n">
        <f>HYPERLINK("https://www.somogyi.hu/data/img/product_main_images/small/02666.jpg","https://www.somogyi.hu/data/img/product_main_images/small/02666.jpg")</f>
        <v>0.0</v>
      </c>
      <c r="F1463" s="2" t="inlineStr">
        <is>
          <t>5998312729908</t>
        </is>
      </c>
      <c r="G1463" s="4" t="inlineStr">
        <is>
          <t>Hogyan biztosíthatja hangszórórácsai stabil és esztétikus rögzítését egyszerűen és hatékonyan? A SAL HT 304 felfogatófül kifejezetten a G és Ga típusú hangszórórácsokhoz készült, hogy megbízható és tartós rögzítést biztosítson. Ez a praktikus kiegészítő nemcsak a stabilitást garantálja, hanem diszkrét megjelenésével hozzájárul a hangszórórendszer esztétikai értékéhez is.
Strapabíró anyag és pontos illeszkedés
A felfogatófül erős műanyagból készült, amely ellenáll a mindennapos használat okozta terhelésnek és biztosítja a hosszú távú megbízhatóságot. A fekete szín elegáns, letisztult megjelenést kölcsönöz, amely harmonikusan illeszkedik a hangszórórácsokhoz és bármilyen típusú hangszórórendszerhez. A termék speciálisan a G és Ga típusú rácsokhoz lett tervezve, így tökéletesen illeszkedik és biztosítja a stabil rögzítést.
Egyszerű telepítés és univerzális kompatibilitás
A SAL HT 304 felfogatófülek gyorsan és könnyedén telepíthetők, így még kevésbé tapasztalt felhasználók számára is egyszerűvé teszik a rácsok rögzítését. Az univerzális kialakítás lehetővé teszi, hogy különböző méretű és típusú hangszórórendszerekhez is használható legyen. A csomagban található 8 darab felfogatófül biztosítja, hogy akár több rács rögzítésére is elegendő mennyiséget kapjon.
Esztétika és funkcionalitás egy termékben
A fekete színű felfogatófülek diszkrét megjelenése nem zavarja meg a hangszórórendszer dizájnját, miközben biztosítja a rácsok stabilitását. Ez a kiegészítő nemcsak funkcionális megoldás, hanem hozzájárul a rendszer esztétikai egységéhez is, legyen szó otthoni használatról vagy professzionális alkalmazásról.
Miért válassza a SAL HT 304 felfogatófüleket?
Ez a termék a tartósság, a könnyű használhatóság és az esztétika tökéletes kombinációját nyújtja. A csomagban található nyolc darab fül lehetővé teszi, hogy egyszerre több hangszórórácsot rögzítsen biztonságosan és egyszerűen. Ideális választás mindazoknak, akik hosszú távú, megbízható megoldást keresnek hangszórórendszerük rögzítésére.
Válassza a SAL HT 304 felfogatófület, hogy hangszórórácsai stabilak, biztonságosak és stílusosak maradjanak minden helyzetben!</t>
        </is>
      </c>
    </row>
    <row r="1464">
      <c r="A1464" s="3" t="inlineStr">
        <is>
          <t>HT 2340</t>
        </is>
      </c>
      <c r="B1464" s="2" t="inlineStr">
        <is>
          <t>SAL HT 2340 hangelnyelő szivacs, 30 x 300 x 600 mm</t>
        </is>
      </c>
      <c r="C1464" s="1" t="n">
        <v>1690.0</v>
      </c>
      <c r="D1464" s="7" t="n">
        <f>HYPERLINK("https://www.somogyi.hu/product/sal-ht-2340-hangelnyelo-szivacs-30-x-300-x-600-mm-ht-2340-4146","https://www.somogyi.hu/product/sal-ht-2340-hangelnyelo-szivacs-30-x-300-x-600-mm-ht-2340-4146")</f>
        <v>0.0</v>
      </c>
      <c r="E1464" s="7" t="n">
        <f>HYPERLINK("https://www.somogyi.hu/data/img/product_main_images/small/04146.jpg","https://www.somogyi.hu/data/img/product_main_images/small/04146.jpg")</f>
        <v>0.0</v>
      </c>
      <c r="F1464" s="2" t="inlineStr">
        <is>
          <t>5998312736630</t>
        </is>
      </c>
      <c r="G1464" s="4" t="inlineStr">
        <is>
          <t>Hogyan javíthatja hangrendszere akusztikai teljesítményét egyszerűen és hatékonyan? A SAL HT 2340 hangelnyelő szivacs a high-end minőségű hangfalak tökéletes kiegészítője, amely tiszta basszus- és középhangzást biztosít. Ezzel a praktikus és könnyen kezelhető megoldással hangrendszere optimális hangzást érhet el, miközben a helyiséget akusztikailag is tökéletesen kiegyensúlyozza.
Kiemelkedő minőség és precíz kialakítás
Ez a hangelnyelő szivacs stabil szerkezetű, önhordó anyagból készült, amely hosszú távú megbízhatóságot garantál. A sötétszürke szín visszafogott, mégis modern megjelenést biztosít, amely bármilyen környezetbe harmonikusan illeszkedik. A 30 mm-es vastagság és a 30 x 60 cm-es méret ideális megoldás azok számára, akik pontosan illeszkedő, könnyen méretre vágható szivacsot keresnek a hangrendszerük optimalizálásához.
Tiszta hangzás és zavartalan élmény
A SAL HT 2340 szivacsot kifejezetten úgy tervezték, hogy javítsa a hangfalak akusztikai teljesítményét. Kiválóan elnyeli a nem kívánt rezonanciákat és visszhangokat, ezáltal biztosítva a tiszta, kiegyensúlyozott basszus- és középhangokat. Legyen szó zenehallgatásról, filmnézésről vagy stúdiómunkáról, ezzel a termékkel garantált a zavartalan hangélmény.
Sokoldalúság és egyszerű használat
Ez a hangelnyelő szivacs könnyedén méretre igazítható, így bármilyen hangfalhoz vagy helyiséghez testreszabható. Az anyag tartóssága és könnyű kezelhetősége lehetővé teszi, hogy a szivacsot gyorsan és pontosan elhelyezze ott, ahol a legnagyobb hatást érheti el. Ideális választás high-end minőségű hangfalakhoz, de más akusztikai projektekhez is kiválóan használható.
Miért válassza a SAL HT 2340 hangelnyelő szivacsot?
Ez a termék egyesíti a prémium anyagokat, a funkcionalitást és az esztétikát, hogy a lehető legjobb akusztikai élményt nyújtsa. A 30 mm vastagságú, sötétszürke szivacs nemcsak a hangzásminőséget javítja, hanem hozzájárul a helyiség professzionális megjelenéséhez is.
Ne érje be kevesebbel, amikor a hangzás élményéről van szó – válassza a SAL HT 2340 hangelnyelő szivacsot, és hozza ki a legtöbbet hangrendszeréből!</t>
        </is>
      </c>
    </row>
    <row r="1465">
      <c r="A1465" s="3" t="inlineStr">
        <is>
          <t>HT 3123</t>
        </is>
      </c>
      <c r="B1465" s="2" t="inlineStr">
        <is>
          <t>SAL HT 3123 gumiláb hangdobozhoz, M5 rögzítés, 37 mm átmérő, 16 mm magas, 4 db/ csomag</t>
        </is>
      </c>
      <c r="C1465" s="1" t="n">
        <v>399.0</v>
      </c>
      <c r="D1465" s="7" t="n">
        <f>HYPERLINK("https://www.somogyi.hu/product/sal-ht-3123-gumilab-hangdobozhoz-m5-rogzites-37-mm-atmero-16-mm-magas-4-db-csomag-ht-3123-3313","https://www.somogyi.hu/product/sal-ht-3123-gumilab-hangdobozhoz-m5-rogzites-37-mm-atmero-16-mm-magas-4-db-csomag-ht-3123-3313")</f>
        <v>0.0</v>
      </c>
      <c r="E1465" s="7" t="n">
        <f>HYPERLINK("https://www.somogyi.hu/data/img/product_main_images/small/03313.jpg","https://www.somogyi.hu/data/img/product_main_images/small/03313.jpg")</f>
        <v>0.0</v>
      </c>
      <c r="F1465" s="2" t="inlineStr">
        <is>
          <t>5998312736371</t>
        </is>
      </c>
      <c r="G1465" s="4" t="inlineStr">
        <is>
          <t>Hogyan teheti hangdobozát stabilabbá és tartósabbá, miközben megvédi a felületeket a karcolásoktól? A SAL HT 3123 gumilábak kifejezetten hangdobozokhoz lettek tervezve, hogy biztosítsák a tökéletes stabilitást és védelmet. Ez a praktikus kiegészítő nemcsak a hangrendszer megbízhatóságát növeli, hanem esztétikus és tartós megoldást kínál minden igényes felhasználó számára.
Masszív anyag és intelligens kialakítás
A gumilábak kemény gumi alapanyagból készülnek, amely biztosítja a hosszú élettartamot és a megbízható rögzítést. A beépített fém alátét további stabilitást és extra védelmet nyújt, így garantáltan ellenáll a mindennapos használat során fellépő terheléseknek. Az Ø37 mm-es átmérő és a 16 mm-es magasság ideális méretűvé teszi őket bármilyen típusú hangdobozhoz. A 5 mm-es csavarfurat lehetővé teszi a gyors és egyszerű rögzítést, minimalizálva a telepítéssel járó időt és erőfeszítést.
Letisztult megjelenés, univerzális felhasználás
A fekete színű gumilábak visszafogott, mégis elegáns megjelenést biztosítanak, amelyek könnyedén illeszkednek bármilyen hangrendszerhez vagy környezethez. Akár otthoni szórakoztató rendszerről, akár professzionális hangosítási eszközökről van szó, ez a termék a maximális funkcionalitás és az esztétika tökéletes kombinációját kínálja.
Gyakorlati előnyök, amelyeket érdemes kihasználni
A SAL HT 3123 gumilábak nemcsak stabilitást nyújtanak, hanem hatékonyan csökkentik a rezgéseket is, ezáltal javítva a hangminőséget. Emellett védik a bútorokat és a padlófelületeket a karcolásoktól, miközben minimalizálják a csúszás veszélyét. A masszív gumi anyag ellenáll a kopásnak, így hosszú távon is megbízható megoldást nyújt.
Miért válassza ezt a terméket?
A SAL HT 3123 gumiláb egyesíti a praktikusságot, a tartósságot és a letisztult dizájnt, így ideális választás mindazoknak, akik nem kötnek kompromisszumot sem a minőség, sem a funkcionalitás terén. Könnyen felszerelhető, rendkívül strapabíró, és a csomagban található 4 darab gumiláb biztosítja, hogy hangdobozai stabilan és biztonságosan álljanak.
Hozza ki a legtöbbet hangrendszeréből ezzel a praktikus kiegészítővel, és élvezze a zavartalan hangélményt, akár otthon, akár professzionális környezetben!</t>
        </is>
      </c>
    </row>
    <row r="1466">
      <c r="A1466" s="3" t="inlineStr">
        <is>
          <t>HT 70/BK</t>
        </is>
      </c>
      <c r="B1466" s="2" t="inlineStr">
        <is>
          <t>SAL HT 70/BK hangfalbevonó kárpit, 70 x 140 cm</t>
        </is>
      </c>
      <c r="C1466" s="1" t="n">
        <v>2990.0</v>
      </c>
      <c r="D1466" s="7" t="n">
        <f>HYPERLINK("https://www.somogyi.hu/product/sal-ht-70-bk-hangfalbevono-karpit-70-x-140-cm-ht-70-bk-4283","https://www.somogyi.hu/product/sal-ht-70-bk-hangfalbevono-karpit-70-x-140-cm-ht-70-bk-4283")</f>
        <v>0.0</v>
      </c>
      <c r="E1466" s="7" t="n">
        <f>HYPERLINK("https://www.somogyi.hu/data/img/product_main_images/small/04283.jpg","https://www.somogyi.hu/data/img/product_main_images/small/04283.jpg")</f>
        <v>0.0</v>
      </c>
      <c r="F1466" s="2" t="inlineStr">
        <is>
          <t>5998312709085</t>
        </is>
      </c>
      <c r="G1466" s="4" t="inlineStr">
        <is>
          <t>Hogyan újíthatja fel hangfalát, hogy ismét kifogástalanul nézzen ki és a funkciójában is tökéletes legyen? A SAL HT 70/BK hangfalbevonó kárpit ideális választás, ha sérült vagy kopott hangfalak borítását szeretné megújítani. Ez a prémium minőségű fekete szövet egyszerre biztosít esztétikus megjelenést és tartós védelmet, hogy hangfala ismét úgy nézzen ki, mint új korában.
Kiváló minőségű alapanyag és praktikus méret
Ez a 70 x 140 cm-es méretű kárpit elegendő ahhoz, hogy különböző méretű hangfalak borításához is használható legyen. A strapabíró szövetanyag biztosítja a hosszú élettartamot és a sérülések elleni hatékony védelmet. A kárpit fekete színe elegáns és időtálló megjelenést kölcsönöz, amely tökéletesen illeszkedik bármilyen stílusú eszközhöz vagy helyiséghez.
Egyszerű használat és testreszabhatóság
A hangfalbevonó kárpit könnyen méretre vágható és ragasztható, így minimális erőfeszítéssel alakítható az adott hangfal formájához. Ezzel a praktikus megoldással gyorsan és egyszerűen lecserélheti a régi, elhasználódott borítást, miközben a végeredmény professzionális hatást kelt.
Védelem és esztétika egy termékben
A SAL HT 70/BK kárpit nemcsak a sérülések, kopások vagy karcolások elfedésére alkalmas, hanem a hangfalakat meg is védi a jövőbeni károsodásoktól. A szövetanyag tartósságának köszönhetően hosszú távon is megőrzi esztétikai és funkcionális értékét.
Miért érdemes ezt a terméket választani?
Ez a hangfalbevonó kárpit tökéletes kombinációja a minőségnek, a funkcionalitásnak és a könnyű kezelhetőségnek. Akár kisebb otthoni hangszórókhoz, akár nagyobb professzionális hangfalakhoz használja, ez a termék minden igényt kielégít.
Frissítse fel hangfalait ezzel a praktikus és megbízható kiegészítővel, és élvezze az új megjelenés és a tökéletes védelem előnyeit!</t>
        </is>
      </c>
    </row>
    <row r="1467">
      <c r="A1467" s="3" t="inlineStr">
        <is>
          <t>HT5050B</t>
        </is>
      </c>
      <c r="B1467" s="2" t="inlineStr">
        <is>
          <t>SAL HT5050B hangcsillapító anyag, 50x50x5cm, 4db/csomag, öntapadós</t>
        </is>
      </c>
      <c r="C1467" s="1" t="n">
        <v>2690.0</v>
      </c>
      <c r="D1467" s="7" t="n">
        <f>HYPERLINK("https://www.somogyi.hu/product/sal-ht5050b-hangcsillapito-anyag-50x50x5cm-4db-csomag-ontapados-ht5050b-18483","https://www.somogyi.hu/product/sal-ht5050b-hangcsillapito-anyag-50x50x5cm-4db-csomag-ontapados-ht5050b-18483")</f>
        <v>0.0</v>
      </c>
      <c r="E1467" s="7" t="n">
        <f>HYPERLINK("https://www.somogyi.hu/data/img/product_main_images/small/18483.jpg","https://www.somogyi.hu/data/img/product_main_images/small/18483.jpg")</f>
        <v>0.0</v>
      </c>
      <c r="F1467" s="2" t="inlineStr">
        <is>
          <t>5999084965013</t>
        </is>
      </c>
      <c r="G1467" s="4" t="inlineStr">
        <is>
          <t>Hogyan biztosíthat csendesebb, harmonikusabb környezetet otthonában vagy stúdiójában, miközben stílusos dekorációt is teremt? A SAL HT5050B hangcsillapító anyag egy professzionális, nagy sűrűségű, öntapadós szivacspanelekből álló megoldás, amely egyszerre csökkenti a zajt és a visszhangot, miközben látványos falburkolatként is funkcionál. Ideális választás otthoni használatra és hangstúdiókba, de alkalmas különféle zajos berendezések zajcsillapítására is, például hűtőszekrények, garázsok vagy műhelyek esetében.
Kiváló minőség és könnyű használhatóság
A panelek nagy sűrűségű, tűzálló PU szivacsból készültek, amely hatékonyan csökkenti a nem kívánt zajokat és visszhangokat. Az anyag 20 kg/m³-es sűrűsége biztosítja a tartósságot és a kiváló zajelnyelési teljesítményt. Az öntapadós hátoldal egyszerűvé és gyorssá teszi a telepítést, anélkül, hogy további rögzítőanyagokra lenne szükség. Emellett a szivacs könnyen méretre vágható, így maximálisan testreszabható bármilyen felülethez.
Többfunkciós alkalmazási lehetőségek
Ez a termék ideális otthoni és professzionális környezetben egyaránt. Felhasználható zeneszobákban, hangstúdiókban, hűtőszekrények mellett, solar inverterek zajcsillapítására, valamint garázsokban és műhelyekben is. A panelek nemcsak hatékony zajcsökkentést kínálnak, hanem vizuálisan is vonzóvá teszik a helyiséget, divatos és modern dekorációként szolgálva.
Egészséges és környezetbarát megoldás
A szivacs nem tartalmaz vegyszereket, így nincs kellemetlen kémiai szaga. Ez különösen fontos zárt térben való használat esetén, ahol a tiszta levegő elengedhetetlen. A termék tűzálló tulajdonságainak köszönhetően biztonságosan alkalmazható bármilyen környezetben.
Praktikus méretezés és kiszerelés
A csomagban 4 darab 50 x 50 x 5 cm-es panel található, amelyek összesen 1 m²-es lefedettséget biztosítanak. Ez a méret tökéletes kisebb helyiségek vagy konkrét zajforrások kezelésére, miközben könnyen bővíthető további panelekkel a nagyobb területek zajcsökkentéséhez.
Miért érdemes a SAL HT5050B hangcsillapító anyagot választani?
Ez a termék a funkcionalitás és az esztétika tökéletes kombinációját nyújtja. A nagy sűrűségű szivacsanyag, az egyszerű telepítés és a sokoldalú alkalmazási lehetőségek révén hatékony és megbízható zajcsökkentést biztosít. Emellett modern megjelenésével otthona vagy munkahelye esztétikáját is emeli.
Csökkentse a zajokat, teremtsen nyugodt légkört, és élvezze a stílusos faldekoráció előnyeit a SAL HT5050B hangcsillapító anyaggal!</t>
        </is>
      </c>
    </row>
    <row r="1468">
      <c r="A1468" s="3" t="inlineStr">
        <is>
          <t>HT 402</t>
        </is>
      </c>
      <c r="B1468" s="2" t="inlineStr">
        <is>
          <t>SAL HT 402 hangfalsarok, 54 x 54 x 81 mm</t>
        </is>
      </c>
      <c r="C1468" s="1" t="n">
        <v>309.0</v>
      </c>
      <c r="D1468" s="7" t="n">
        <f>HYPERLINK("https://www.somogyi.hu/product/sal-ht-402-hangfalsarok-54-x-54-x-81-mm-ht-402-2673","https://www.somogyi.hu/product/sal-ht-402-hangfalsarok-54-x-54-x-81-mm-ht-402-2673")</f>
        <v>0.0</v>
      </c>
      <c r="E1468" s="7" t="n">
        <f>HYPERLINK("https://www.somogyi.hu/data/img/product_main_images/small/02673.jpg","https://www.somogyi.hu/data/img/product_main_images/small/02673.jpg")</f>
        <v>0.0</v>
      </c>
      <c r="F1468" s="2" t="inlineStr">
        <is>
          <t>5998312729977</t>
        </is>
      </c>
      <c r="G1468" s="4" t="inlineStr">
        <is>
          <t>Hogyan biztosíthat maximális védelmet hangfala sarkainak, miközben megőrzi a stílusos megjelenést? A SAL HT 402 hangfalsarok ideális megoldás minden típusú hangszóróhoz, ahol a tartósság és az elegancia egyaránt fontos szempont. Ez a strapabíró műanyagból készült kiegészítő nemcsak a hangfalak védelmét szolgálja, hanem modern megjelenésével esztétikai értéket is hozzáad.
Erős anyag és pontos méretezés
A hangfalsarok tartós műanyagból készült, amely kiválóan ellenáll a fizikai sérüléseknek, például kopásoknak, ütődéseknek vagy horpadásoknak. A 54 x 54 x 81 mm-es méret pontos illeszkedést biztosít, így garantálva a stabil és megbízható rögzítést. A fekete szín egyszerre elegáns és visszafogott, amely harmonikusan illeszkedik bármilyen hangfal dizájnjához, legyen az otthoni vagy professzionális környezetben használatos.
Egyszerű telepítés, széleskörű kompatibilitás
Ez a kiegészítő könnyen és gyorsan rögzíthető, így akár otthoni barkácsolók, akár profi hangtechnikusok számára is kiváló választás. Kompatibilis számos hangfal típussal, beleértve a sztereó rendszereket, házimozi hangszórókat és színpadi monitorokat. A telepítési folyamat egyszerűsége és a termék sokoldalúsága biztosítja, hogy a SAL HT 402 minden igényt kielégítsen.
Funkcionális védelem és stílusos dizájn
A SAL HT 402 nemcsak praktikus megoldás a hangfalak sarkainak védelmére, hanem modern, professzionális megjelenést is biztosít. A letisztult fekete szín tökéletesen illik bármilyen környezetbe, legyen az otthoni nappali, stúdió vagy koncerthelyszín. A strapabíró műanyag kialakítás garantálja, hogy a hangfalak sarkai hosszú ideig megőrzik eredeti állapotukat.
Miért válassza a SAL HT 402 hangfalsarkot?
Ez a termék ötvözi a minőséget, a tartósságot és az esztétikumot, hogy a legjobb védelmet és megjelenést biztosítsa hangszóróinak. A praktikus méretezés, az egyszerű telepíthetőség és a széles körű kompatibilitás garantálja, hogy ez a kiegészítő minden elvárásnak megfelel.
Védje meg hangszóróit a sérülésektől, és emelje ki azok elegáns megjelenését a SAL HT 402 hangfalsarok segítségével!</t>
        </is>
      </c>
    </row>
    <row r="1469">
      <c r="A1469" s="3" t="inlineStr">
        <is>
          <t>HT 401</t>
        </is>
      </c>
      <c r="B1469" s="2" t="inlineStr">
        <is>
          <t>SAL HT 401 hangfalsarok, 37 x 37 x 55 mm</t>
        </is>
      </c>
      <c r="C1469" s="1" t="n">
        <v>219.0</v>
      </c>
      <c r="D1469" s="7" t="n">
        <f>HYPERLINK("https://www.somogyi.hu/product/sal-ht-401-hangfalsarok-37-x-37-x-55-mm-ht-401-2672","https://www.somogyi.hu/product/sal-ht-401-hangfalsarok-37-x-37-x-55-mm-ht-401-2672")</f>
        <v>0.0</v>
      </c>
      <c r="E1469" s="7" t="n">
        <f>HYPERLINK("https://www.somogyi.hu/data/img/product_main_images/small/02672.jpg","https://www.somogyi.hu/data/img/product_main_images/small/02672.jpg")</f>
        <v>0.0</v>
      </c>
      <c r="F1469" s="2" t="inlineStr">
        <is>
          <t>5998312729960</t>
        </is>
      </c>
      <c r="G1469" s="4" t="inlineStr">
        <is>
          <t>Hogyan biztosíthatja hangfala tartósságát és megőrizheti elegáns megjelenését egy egyszerű kiegészítővel? A SAL HT 401 hangfalsarok egy sokoldalú és praktikus megoldás, amely védi a hangfalak sarkait a sérülésektől, miközben időtálló és esztétikus megjelenést nyújt. Ez a kiegészítő ideális választás otthoni, stúdió- vagy professzionális hangrendszerekhez, ahol a funkcionalitás és a dizájn egyaránt fontos szempont.
Strapabíró anyag és precíz méretezés
A hangfalsarok tartós műanyagból készült, amely ellenáll a mindennapi használat során fellépő kopásoknak, ütődéseknek és más fizikai hatásoknak. A 37 x 37 x 55 mm-es méret biztosítja a tökéletes illeszkedést, így garantálja a hangfalak maximális védelmét. A fekete szín egyszerre modern és visszafogott, amely bármilyen hangszóróhoz tökéletesen illeszkedik.
Egyszerű felszerelés, professzionális védelem
Ez a kiegészítő könnyen rögzíthető, így gyors és egyszerű megoldást kínál a hangfalak sarkainak megerősítésére. Legyen szó kisebb otthoni hangszórókról vagy nagyobb professzionális rendszerekről, a SAL HT 401 kompatibilis a legtöbb hangfal típussal, és biztosítja, hogy azok hosszú távon megőrizzék állapotukat.
Esztétikai és funkcionális előnyök
A hangfalsarok nemcsak védelmet nyújt a fizikai sérülések ellen, hanem növeli a hangfalak esztétikai értékét is. A diszkrét fekete szín elegánsan illeszkedik bármilyen környezetbe, legyen szó otthoni szórakoztatóról, stúdióról vagy színpadi használatról.
Miért válassza a SAL HT 401 hangfalsarkot?
Ez a termék ötvözi a strapabíró kialakítást, a könnyű felszerelhetőséget és a modern megjelenést. A minőségi műanyag anyag hosszú távon is megőrzi formáját és funkcióját, miközben biztosítja, hogy hangfalai a legjobb védelemben részesüljenek. A praktikus méretezés és a széles körű kompatibilitás révén ez a kiegészítő minden hangrendszer elengedhetetlen része lehet.
Tegye időtállóvá hangszóróit a SAL HT 401 hangfalsarokkal, és élvezze a tartós védelem és a stílusos megjelenés tökéletes kombinációját!</t>
        </is>
      </c>
    </row>
    <row r="1470">
      <c r="A1470" s="3" t="inlineStr">
        <is>
          <t>KAH 303</t>
        </is>
      </c>
      <c r="B1470" s="2" t="inlineStr">
        <is>
          <t>SAL KAH 303 reflexcső, állítható hosszúságú, 66 mm átmérő, 125 - 250 mm, 2 db/ csomag</t>
        </is>
      </c>
      <c r="C1470" s="1" t="n">
        <v>1490.0</v>
      </c>
      <c r="D1470" s="7" t="n">
        <f>HYPERLINK("https://www.somogyi.hu/product/sal-kah-303-reflexcso-allithato-hosszusagu-66-mm-atmero-125-250-mm-2-db-csomag-kah-303-2841","https://www.somogyi.hu/product/sal-kah-303-reflexcso-allithato-hosszusagu-66-mm-atmero-125-250-mm-2-db-csomag-kah-303-2841")</f>
        <v>0.0</v>
      </c>
      <c r="E1470" s="7" t="n">
        <f>HYPERLINK("https://www.somogyi.hu/data/img/product_main_images/small/02841.jpg","https://www.somogyi.hu/data/img/product_main_images/small/02841.jpg")</f>
        <v>0.0</v>
      </c>
      <c r="F1470" s="2" t="inlineStr">
        <is>
          <t>5998312731659</t>
        </is>
      </c>
      <c r="G1470" s="4" t="inlineStr">
        <is>
          <t>Hogyan optimalizálhatja hangfalai teljesítményét a tisztább és mélyebb basszus eléréséhez? A SAL KAH 303 reflexcső ideális választás minden olyan hangrendszer számára, ahol fontos a precíz basszus és a hatékony légáramlás biztosítása. Az állítható hosszúságú kialakításnak köszönhetően könnyedén testreszabható a különböző hangszórókonfigurációkhoz, így garantálva a professzionális hangzást.
Állítható hosszúság a tökéletes hangzásért
Ez a reflexcső állítható hosszúságú, amely 125 mm-től 250 mm-ig szabályozható, hogy pontosan illeszkedjen a kívánt hangszóró paramétereihez. A 66 mm-es átmérő biztosítja az optimális légáramlást, amely elengedhetetlen a tiszta és torzításmentes mélyhangok eléréséhez. Az állíthatóság lehetőséget nyújt arra, hogy a reflexcsövet pontosan a hangfal specifikációihoz igazítsa, így maximalizálva a hangzás minőségét.
Tartós és esztétikus kialakítás
A reflexcső strapabíró műanyagból készült, amely ellenáll a hosszú távú igénybevételnek, miközben könnyű és egyszerűen kezelhető. A fekete szín visszafogott, elegáns megjelenést biztosít, amely harmonikusan illeszkedik bármilyen hangfal dizájnjához. A bliszteres csomagolás két darab reflexcsövet tartalmaz, így kiváló választás sztereó rendszerekhez vagy többcsatornás konfigurációkhoz.
Sokoldalú alkalmazhatóság és egyszerű telepítés
A SAL KAH 303 reflexcső könnyen beépíthető a legtöbb hangfal típusba, legyen szó otthoni szórakoztató rendszerekről, házimozikról vagy stúdiómonitorokról. Az állítható hosszúság megkönnyíti a finomhangolást, miközben a termék biztosítja a tiszta és mély basszusok elérését minden környezetben.
Miért válassza a SAL KAH 303 reflexcsövet?
Ez a termék a funkcionalitás, a tartósság és az esztétika tökéletes egyensúlyát kínálja. A könnyen állítható hosszúság, a strapabíró anyagok és a sokoldalú kompatibilitás garantálják, hogy hangrendszere a lehető legjobb teljesítményt nyújtsa. Legyen szó zenei élményről vagy filmes hangzásról, a SAL KAH 303 reflexcső minden helyzetben helytáll.
Maximalizálja hangrendszere mélyhang-teljesítményét ezzel a praktikus és megbízható megoldással! Élvezze a tiszta, részletgazdag hangzást minden alkalommal!</t>
        </is>
      </c>
    </row>
    <row r="1471">
      <c r="A1471" s="3" t="inlineStr">
        <is>
          <t>HT 400</t>
        </is>
      </c>
      <c r="B1471" s="2" t="inlineStr">
        <is>
          <t>SAL HT 400 hangfalsarok, 40 x 40 x 40 mm</t>
        </is>
      </c>
      <c r="C1471" s="1" t="n">
        <v>299.0</v>
      </c>
      <c r="D1471" s="7" t="n">
        <f>HYPERLINK("https://www.somogyi.hu/product/sal-ht-400-hangfalsarok-40-x-40-x-40-mm-ht-400-2671","https://www.somogyi.hu/product/sal-ht-400-hangfalsarok-40-x-40-x-40-mm-ht-400-2671")</f>
        <v>0.0</v>
      </c>
      <c r="E1471" s="7" t="n">
        <f>HYPERLINK("https://www.somogyi.hu/data/img/product_main_images/small/02671.jpg","https://www.somogyi.hu/data/img/product_main_images/small/02671.jpg")</f>
        <v>0.0</v>
      </c>
      <c r="F1471" s="2" t="inlineStr">
        <is>
          <t>5998312729953</t>
        </is>
      </c>
      <c r="G1471" s="4" t="inlineStr">
        <is>
          <t>Hogyan védi meg hangfalait a sérülésektől, miközben elegáns megjelenést is kölcsönöz nekik? A SAL HT 400 hangfalsarok ideális megoldás minden típusú hangfal számára, ahol a sarkok megerősítésére és védelmére van szükség. Ez a praktikus és esztétikus kiegészítő nemcsak a hangfalak élettartamát növeli meg, hanem hozzájárul azok kifogástalan külsejének megőrzéséhez is.
Tartós anyag és precíz méretezés
A hangfalsarok strapabíró műanyagból készült, amely biztosítja a hosszan tartó védelmet és megbízhatóságot. A 40 x 40 x 40 mm-es méret tökéletesen illeszkedik a legtöbb szabványos hangfalhoz, így biztosítva a pontos és stabil rögzítést. A fekete szín elegáns megjelenést kölcsönöz, amely bármilyen környezetben esztétikus látványt nyújt.
Hatékony védelem és sokoldalú felhasználás
Ez a hangfalsarok megbízható védelmet nyújt a sarkok kopása, karcolódása és egyéb sérülései ellen. Ideális választás otthoni hangszórókhoz, stúdióberendezésekhez vagy akár professzionális hangosító rendszerekhez is. Az egyszerű telepítési lehetőség biztosítja, hogy gyorsan és problémamentesen alkalmazható legyen, miközben tartós megoldást nyújt a mindennapi használat során.
Esztétika és funkcionalitás egy termékben
A SAL HT 400 hangfalsarok nemcsak a sérülések ellen védi a hangfalakat, hanem elegáns és professzionális megjelenést is biztosít. Az időtálló műanyag alapanyag ellenáll a mindennapi terhelésnek, így hosszú távon megőrzi eredeti állapotát.
Miért válassza a SAL HT 400 hangfalsarkot?
Ez a termék ötvözi a minőséget, a funkcionalitást és a könnyű használhatóságot. A precíz méret és a strapabíró kialakítás garantálja, hogy hangfalai nemcsak jól védettek legyenek, hanem esztétikai értéküket is megőrizzék. Legyen szó otthoni vagy professzionális felhasználásról, a SAL HT 400 hangfalsarok minden igényt kielégít.
Válassza ezt a praktikus és megbízható megoldást, hogy hangszórói hosszú távon is megőrizzék tökéletes állapotukat!</t>
        </is>
      </c>
    </row>
    <row r="1472">
      <c r="A1472" s="3" t="inlineStr">
        <is>
          <t>KAH 202</t>
        </is>
      </c>
      <c r="B1472" s="2" t="inlineStr">
        <is>
          <t>SAL KAH 202 reflexcső, vágható, 45 mm átmérő, 100 mm, 4 db/ csomag</t>
        </is>
      </c>
      <c r="C1472" s="1" t="n">
        <v>509.0</v>
      </c>
      <c r="D1472" s="7" t="n">
        <f>HYPERLINK("https://www.somogyi.hu/product/sal-kah-202-reflexcso-vaghato-45-mm-atmero-100-mm-4-db-csomag-kah-202-2842","https://www.somogyi.hu/product/sal-kah-202-reflexcso-vaghato-45-mm-atmero-100-mm-4-db-csomag-kah-202-2842")</f>
        <v>0.0</v>
      </c>
      <c r="E1472" s="7" t="n">
        <f>HYPERLINK("https://www.somogyi.hu/data/img/product_main_images/small/02842.jpg","https://www.somogyi.hu/data/img/product_main_images/small/02842.jpg")</f>
        <v>0.0</v>
      </c>
      <c r="F1472" s="2" t="inlineStr">
        <is>
          <t>5998312731666</t>
        </is>
      </c>
      <c r="G1472" s="4" t="inlineStr">
        <is>
          <t>Hogyan hozhatja ki hangfalából a lehető legtisztább és legmélyebb basszust? A SAL KAH 202 reflexcső egy professzionális kiegészítő, amely segít optimalizálni hangszórója teljesítményét. Ez a méretre vágható, 45 mm átmérőjű és 100 mm hosszúságú reflexcső kiváló választás minden olyan rendszerhez, ahol a pontos basszus és a hatékony légáramlás elengedhetetlen.
Rugalmas és testreszabható kialakítás
Ez a reflexcső méretre vágható, így pontosan illeszkedik a hangszóró egyedi paramétereihez. A 45 mm-es átmérőbiztosítja az optimális légáramlást, míg a 100 mm-es hossz ideális választás a legtöbb szabványos hangfalhoz. A cső tartós műanyagból készült, amely ellenáll a rendszeres igénybevételnek, miközben biztosítja a tartós, megbízható használatot.
Hatékony teljesítményjavítás
A SAL KAH 202 reflexcső segítségével jelentősen javítható a hangszórók basszus-teljesítménye. A reflexcső optimalizálja a légáramlást, amely lehetővé teszi a tisztább és torzításmentes mélyhangok megszólalását. Ez különösen fontos zenészek, audiofilek vagy bárki számára, aki a lehető legjobb hangzást szeretné elérni otthonában vagy stúdiójában.
Egyszerű telepítés és széles körű kompatibilitás
Ez a kiegészítő könnyen telepíthető, és kompatibilis a legtöbb szabványos hangfal típussal. A négy darabos csomag biztosítja, hogy akár sztereó, akár többcsatornás rendszerekhez is elegendő mennyiséget kapjon. A reflexcsövek fekete színe diszkrét és időtálló megjelenést biztosít, amely bármilyen hangszóróhoz tökéletesen illik.
Miért válassza a SAL KAH 202 reflexcsövet?
Ez a termék ötvözi a funkcionalitást, a tartósságot és a testreszabhatóságot, hogy a lehető legjobb hangzást nyújtsa. A precíz kialakítás, a könnyű kezelhetőség és a tartós műanyag anyag biztosítja, hogy hangrendszere hosszú távon is a legjobb teljesítményt nyújtsa. Ideális választás mindazok számára, akik a hangminőségben nem szeretnének kompromisszumot kötni.
Optimalizálja hangszórója teljesítményét a SAL KAH 202 reflexcső segítségével, és élvezze a tiszta, dinamikus hangzást minden alkalommal!</t>
        </is>
      </c>
    </row>
    <row r="1473">
      <c r="A1473" s="3" t="inlineStr">
        <is>
          <t>HT 305</t>
        </is>
      </c>
      <c r="B1473" s="2" t="inlineStr">
        <is>
          <t>SAL HT 305 felfogatófül hangszórórácshoz, G típus, 8 db/ csomag</t>
        </is>
      </c>
      <c r="C1473" s="1" t="n">
        <v>149.0</v>
      </c>
      <c r="D1473" s="7" t="n">
        <f>HYPERLINK("https://www.somogyi.hu/product/sal-ht-305-felfogatoful-hangszororacshoz-g-tipus-8-db-csomag-ht-305-3314","https://www.somogyi.hu/product/sal-ht-305-felfogatoful-hangszororacshoz-g-tipus-8-db-csomag-ht-305-3314")</f>
        <v>0.0</v>
      </c>
      <c r="E1473" s="7" t="n">
        <f>HYPERLINK("https://www.somogyi.hu/data/img/product_main_images/small/03314.jpg","https://www.somogyi.hu/data/img/product_main_images/small/03314.jpg")</f>
        <v>0.0</v>
      </c>
      <c r="F1473" s="2" t="inlineStr">
        <is>
          <t>5998312736388</t>
        </is>
      </c>
      <c r="G1473" s="4" t="inlineStr">
        <is>
          <t>Hogyan rögzítheti biztonságosan és esztétikusan hangszórórácsát a tökéletes megjelenés érdekében? A SAL HT 305 felfogatófül a G és Ga típusú hangszórórácsok ideális kiegészítője, amely biztosítja a rácsok stabil és megbízható rögzítését. Ez a praktikus és diszkrét megoldás tökéletesen illeszkedik bármilyen hangszórórendszerhez, miközben garantálja az eszközök védelmét és professzionális megjelenését.
Tartós anyag és praktikus kialakítás
A felfogatófül strapabíró műanyagból készült, amely ellenáll a mindennapi használat során fellépő terhelésnek. A fekete szín elegáns megjelenést biztosít, amely harmonikusan illeszkedik bármilyen típusú hangszórórácshoz. Az erős műanyag anyag lehetővé teszi, hogy a fül hosszú távon megőrizze formáját és funkcióját, miközben biztosítja a rács stabil rögzítését.
Széles körű kompatibilitás és egyszerű alkalmazás
A SAL HT 305 felfogatófülek kifejezetten a G és Ga típusú hangszórórácsokhoz készültek, amelyek gyakran használt elemek mind otthoni, mind professzionális hangrendszerekben. A csomagban található 8 darab felfogatófül elegendő egy vagy akár több rács biztonságos rögzítéséhez, így ideális választás kisebb és nagyobb rendszerekhez egyaránt.
Diszkrét és időtálló megjelenés
A fekete színű felfogatófülek nemcsak praktikusak, hanem esztétikusak is, hiszen diszkrét kialakításuk révén észrevétlenül simulnak bele a hangszórók dizájnjába. Ez a termék biztosítja, hogy a hangszórórácsok a helyükön maradjanak, miközben megőrzik a letisztult megjelenést.
Miért válassza a SAL HT 305 felfogatófüleket?
Ez a termék a tartósság, a könnyű kezelhetőség és az esztétikai szempontok tökéletes kombinációját nyújtja. A praktikus csomagolásban található nyolc darab fül lehetővé teszi, hogy egyszerre több hangszórórácsot is rögzítsen, miközben biztosítja a hosszú távú stabilitást és megbízhatóságot. Ideális választás mindazoknak, akik a funkcionalitás mellett a megjelenésre is figyelmet fordítanak.
Rögzítse hangszórórácsait egyszerűen és elegánsan a SAL HT 305 felfogatófülek segítségével, hogy hangrendszere mindig tökéletesen működjön és stílusos maradjon!</t>
        </is>
      </c>
    </row>
    <row r="1474">
      <c r="A1474" s="3" t="inlineStr">
        <is>
          <t>SG 16</t>
        </is>
      </c>
      <c r="B1474" s="2" t="inlineStr">
        <is>
          <t>SAL SG 16 membránszegély, 165 mm, szivacs, fekete</t>
        </is>
      </c>
      <c r="C1474" s="1" t="n">
        <v>909.0</v>
      </c>
      <c r="D1474" s="7" t="n">
        <f>HYPERLINK("https://www.somogyi.hu/product/sal-sg-16-membranszegely-165-mm-szivacs-fekete-sg-16-2996","https://www.somogyi.hu/product/sal-sg-16-membranszegely-165-mm-szivacs-fekete-sg-16-2996")</f>
        <v>0.0</v>
      </c>
      <c r="E1474" s="7" t="n">
        <f>HYPERLINK("https://www.somogyi.hu/data/img/product_main_images/small/02996.jpg","https://www.somogyi.hu/data/img/product_main_images/small/02996.jpg")</f>
        <v>0.0</v>
      </c>
      <c r="F1474" s="2" t="inlineStr">
        <is>
          <t>5998312733202</t>
        </is>
      </c>
      <c r="G1474" s="4" t="inlineStr">
        <is>
          <t>Hogyan varázsolhatja újjá régi hangszóróját, hogy ismét tökéletes hangzást biztosítson?
A SAL SG 16 membránszegély a 165 mm-es hangszórókhoz készült, hogy egyszerűen és hatékonyan pótolja az elöregedett vagy sérült szegélyeket. Ez az eszköz kiváló választás mindazok számára, akik gazdaságos, mégis professzionális megoldást keresnek régi hangszóróik felújításához.
Minőségi anyag és optimális illeszkedés
A membránszegély tartós szivacs alapanyagból készült, amely biztosítja a szükséges rugalmasságot és hosszú élettartamot. A 165 mm-es átmérő pontosan illeszkedik a szabványos méretű hangszórókhoz, így garantálva az egyszerű cserét és a kifogástalan végeredményt. A fekete szín elegáns és időtálló megjelenést kölcsönöz, amely diszkréten illeszkedik bármilyen hangszóró kialakításához.
Funkcionalitás és megbízhatóság
Ez a membránszegély ideális választás azok számára, akik elérhető áron szeretnék visszaállítani hangszórójuk eredeti teljesítményét. Az anyag rugalmassága és a precíz kialakítás biztosítja a tiszta, torzításmentes hangzást, legyen szó zenehallgatásról, házimozi-rendszerről vagy bármilyen egyéb felhasználási célról. A termék kompatibilis minden 165 mm-es hangszóróval, így sokoldalúan alkalmazható.
Környezettudatos választás, amely pénztárcabarát is
Miért dobna ki egy régi hangszórót, ha könnyen és gyorsan megjavíthatja? A SAL SG 16 nemcsak gazdaságos megoldás, hanem hozzájárul a fenntarthatósághoz is, hiszen a felújítással csökkenti az elektronikai hulladék mennyiségét. A cserével nemcsak a hangzás minősége állítható helyre, hanem az eszköz élettartama is jelentősen meghosszabbítható.
Miért érdemes ezt a terméket választani?
A SAL SG 16 membránszegély egyszerre biztosítja a megbízhatóságot, a könnyű alkalmazhatóságot és az esztétikus megjelenést. Legyen szó otthoni vagy professzionális használatról, ezzel a termékkel garantáltan elégedett lesz. A kiváló minőségű szivacs anyag és az univerzális kompatibilitás megkönnyíti a régi hangszórók újjáélesztését, miközben a tiszta hangzásélmény újra elérhetővé válik.
Ne hagyja, hogy elöregedett szegélyek rontsák a zeneélményt – újítsa fel hangszóróit gyorsan és hatékonyan a SAL SG 16 membránszegéllyel!</t>
        </is>
      </c>
    </row>
    <row r="1475">
      <c r="A1475" s="3" t="inlineStr">
        <is>
          <t>HT 200</t>
        </is>
      </c>
      <c r="B1475" s="2" t="inlineStr">
        <is>
          <t>SAL HT 200 hangfalhordfül, fém és gumi, 250 mm</t>
        </is>
      </c>
      <c r="C1475" s="1" t="n">
        <v>889.0</v>
      </c>
      <c r="D1475" s="7" t="n">
        <f>HYPERLINK("https://www.somogyi.hu/product/sal-ht-200-hangfalhordful-fem-es-gumi-250-mm-ht-200-2667","https://www.somogyi.hu/product/sal-ht-200-hangfalhordful-fem-es-gumi-250-mm-ht-200-2667")</f>
        <v>0.0</v>
      </c>
      <c r="E1475" s="7" t="n">
        <f>HYPERLINK("https://www.somogyi.hu/data/img/product_main_images/small/02667.jpg","https://www.somogyi.hu/data/img/product_main_images/small/02667.jpg")</f>
        <v>0.0</v>
      </c>
      <c r="F1475" s="2" t="inlineStr">
        <is>
          <t>5998312729915</t>
        </is>
      </c>
      <c r="G1475" s="4" t="inlineStr">
        <is>
          <t>Hogyan teheti egyszerűvé és biztonságossá a nehéz hangfalak mozgatását, miközben megőrzi azok tartósságát és professzionális megjelenését? A SAL HT 200 hangfalhordfül a tökéletes megoldás hangfalak és hangdobozok kényelmes és biztonságos szállítására. Ez a masszív kivitelű, fém és gumi kombinációjából készült hordfül nemcsak praktikus, hanem rendkívül megbízható választás is, amely kifejezetten nehéz berendezések mozgatására lett tervezve.
Masszív kivitel és kényelmes használat
Ez a hordfül tartós fémből készült, amely biztosítja a hosszú távú megbízhatóságot még intenzív használat esetén is. A 250 mm-es hosszúság optimális fogást és kényelmes szállítást biztosít, miközben a gumibevonat további kényelmet nyújt a kéznek. A fém és gumi kombinációja garantálja, hogy a hordfül egyszerre legyen erős és ergonomikus.
Széleskörű alkalmazhatóság és könnyű telepítés
A SAL HT 200 hordfül kompatibilis a legtöbb hangfal típussal és hangdobozzal, legyen szó kisebb hordozható rendszerekről vagy nagyobb színpadi berendezésekről. A könnyen rögzíthető kialakítás megkönnyíti a telepítést, így gyorsan és egyszerűen használatra kész. Ez a kiegészítő kiválóan alkalmas otthoni, stúdió- és professzionális környezetben történő használatra egyaránt.
Funkcionalitás és professzionális megjelenés
A hordfül fekete színe elegáns és visszafogott, amely harmonikusan illeszkedik bármilyen hangfal dizájnjához. Ez a termék nemcsak a funkcionalitásban nyújt kiemelkedőt, hanem a tartósság és az esztétika szempontjából is kiváló választás. A gumibevonatú fogórész minimalizálja a kézre nehezedő nyomást, így hosszabb szállítás során is kényelmes.
Miért válassza a SAL HT 200 hangfalhordfület?
Ez a kiegészítő a tartósság, a praktikum és a stílus tökéletes kombinációja. A masszív fém és a kényelmes gumibevonat garantálja, hogy a hordfül ellenáll a mindennapi használat során fellépő terheléseknek, miközben biztonságosan és kényelmesen szállíthatja hangfalait.
Válassza a SAL HT 200 hordfület, hogy a hangfala szállítása egyszerű, biztonságos és kényelmes legyen minden helyzetben!</t>
        </is>
      </c>
    </row>
    <row r="1476">
      <c r="A1476" s="3" t="inlineStr">
        <is>
          <t>SG 30</t>
        </is>
      </c>
      <c r="B1476" s="2" t="inlineStr">
        <is>
          <t>SAL SG 30 membránszegély, 300 mm</t>
        </is>
      </c>
      <c r="C1476" s="1" t="n">
        <v>1690.0</v>
      </c>
      <c r="D1476" s="7" t="n">
        <f>HYPERLINK("https://www.somogyi.hu/product/sal-sg-30-membranszegely-300-mm-sg-30-2605","https://www.somogyi.hu/product/sal-sg-30-membranszegely-300-mm-sg-30-2605")</f>
        <v>0.0</v>
      </c>
      <c r="E1476" s="7" t="n">
        <f>HYPERLINK("https://www.somogyi.hu/data/img/product_main_images/small/02605.jpg","https://www.somogyi.hu/data/img/product_main_images/small/02605.jpg")</f>
        <v>0.0</v>
      </c>
      <c r="F1476" s="2" t="inlineStr">
        <is>
          <t>5998312729205</t>
        </is>
      </c>
      <c r="G1476" s="4" t="inlineStr">
        <is>
          <t>Hogyan adhat új életet elöregedett hangszórójának, hogy ismét tökéletes hangzást nyújtson? A SAL SG 30 membránszegély a 300 mm-es átmérőjű hangszórók ideális kiegészítője, amely lehetővé teszi a sérült vagy elhasználódott szegélyek hatékony és tartós cseréjét. Ez a termék tökéletes választás mindazoknak, akik szeretnék visszanyerni hangszóróik eredeti teljesítményét, miközben megőrzik azok esztétikai értékét.
Kiváló anyagminőség a hosszan tartó megbízhatóságért
Ez a membránszegély szivacs alapanyagból készült, amely biztosítja a maximális rugalmasságot és a hosszú élettartamot. A 300 mm-es átmérő pontos illeszkedést tesz lehetővé, így tökéletesen alkalmas szabványos méretű hangszórókhoz. A fekete szín elegáns megjelenést kölcsönöz, amely harmonikusan illeszkedik minden típusú hangfal kialakításához.
Egyszerű telepítés és univerzális kompatibilitás
A SAL SG 30 membránszegély kompatibilis minden 300 mm-es hangszóróval, így sokoldalúan alkalmazható különböző típusú rendszerekben, legyen szó otthoni, stúdió- vagy professzionális hangszórókról. Az egyszerű telepítési folyamatnak köszönhetően még tapasztalatlan felhasználók számára is könnyen cserélhető, gyors és hatékony eredményt garantálva.
Tökéletes hangzás, amit újra élvezhet
Ez a membránszegély nemcsak visszaállítja hangszórója eredeti teljesítményét, hanem biztosítja a torzításmentes, tiszta hangzást is. A szivacs alapanyag hatékonyan csökkenti a nem kívánt rezgéseket, hozzájárulva a kiegyensúlyozott basszus és középhangok eléréséhez.
Gazdaságos és környezettudatos megoldás
A SAL SG 30 membránszegély alkalmazásával nemcsak költségeket takaríthat meg, hanem hozzájárul a fenntarthatósághoz is. A régi hangszórók felújítása csökkenti az elektronikai hulladék mennyiségét, miközben meghosszabbítja eszközei élettartamát.
Miért válassza a SAL SG 30 membránszegélyt?
Ez a termék egyesíti a strapabíró anyagokat, a könnyű kezelhetőséget és a professzionális hangminőséget. Ideális választás mindazok számára, akik nem szeretnék kompromisszumokkal beérni sem a hangzás, sem az esztétika terén.
Hozza vissza hangszórója régi fényét ezzel a megbízható és könnyen használható membránszegéllyel, és élvezze újra a tiszta, részletgazdag hangzást minden alkalommal!</t>
        </is>
      </c>
    </row>
    <row r="1477">
      <c r="A1477" s="3" t="inlineStr">
        <is>
          <t>SG 25</t>
        </is>
      </c>
      <c r="B1477" s="2" t="inlineStr">
        <is>
          <t>SAL SG 25 membránszegély, 250 mm</t>
        </is>
      </c>
      <c r="C1477" s="1" t="n">
        <v>1450.0</v>
      </c>
      <c r="D1477" s="7" t="n">
        <f>HYPERLINK("https://www.somogyi.hu/product/sal-sg-25-membranszegely-250-mm-sg-25-2604","https://www.somogyi.hu/product/sal-sg-25-membranszegely-250-mm-sg-25-2604")</f>
        <v>0.0</v>
      </c>
      <c r="E1477" s="7" t="n">
        <f>HYPERLINK("https://www.somogyi.hu/data/img/product_main_images/small/02604.jpg","https://www.somogyi.hu/data/img/product_main_images/small/02604.jpg")</f>
        <v>0.0</v>
      </c>
      <c r="F1477" s="2" t="inlineStr">
        <is>
          <t>5998312729199</t>
        </is>
      </c>
      <c r="G1477" s="4" t="inlineStr">
        <is>
          <t>Hogyan hozhatja vissza régi hangszórójának eredeti teljesítményét egyszerűen és költséghatékonyan? A SAL SG 25 membránszegély a 250 mm-es hangszórókhoz készült, hogy újjávarázsolja elöregedett vagy sérült membránszegélyeket. Ezzel a kiegészítővel a hangszórók nemcsak eredeti hangminőségüket nyerhetik vissza, hanem meghosszabbítható az eszköz élettartama is.
Kiváló minőség és precíz illeszkedés
A 250 mm-es átmérőjű membránszegély szivacs alapanyagból készült, amely biztosítja a kiváló rugalmasságot és a hosszú távú használatot. A szivacsanyagnak köszönhetően a termék hatékonyan csökkenti a nem kívánt rezgéseket, és hozzájárul a torzításmentes hangzáshoz. A fekete szín elegáns és diszkrét megjelenést biztosít, amely harmonikusan illeszkedik minden hangszóróhoz.
Funkcionalitás és sokoldalúság
Ez a membránszegély bármilyen 250 mm-es hangszóróhoz kompatibilis, így ideális választás otthoni és professzionális felhasználásra egyaránt. Legyen szó zenekedvelőkről vagy audiofil felhasználókról, ez a termék minden igényt kielégít. Az egyszerű telepítési folyamat lehetővé teszi, hogy minimális időráfordítással érje el a maximális eredményt.
Gazdaságos és környezettudatos megoldás
A SAL SG 25 membránszegély nemcsak pénztárcabarát megoldás, hanem hozzájárul a fenntarthatósághoz is. Egy új hangszóró vásárlása helyett a felújítással csökkentheti az elektronikai hulladék mennyiségét, miközben megőrzi a régi hangszórója értékét.
Miért érdemes ezt a terméket választani?
A SAL SG 25 membránszegély egyesíti a minőséget, a funkcionalitást és a könnyű használhatóságot. Az anyag rugalmassága, a precíz méret és az univerzális kompatibilitás garantálja, hogy a hangszóró újra tökéletesen működjön. Legyen szó zenehallgatásról, házimoziról vagy professzionális hangosításról, ezzel a termékkel garantáltan elégedett lesz.
Hozza ki a legtöbbet meglévő hangszórójából, és élvezze újra a tiszta, életteli hangzást a SAL SG 25 membránszegéllyel!</t>
        </is>
      </c>
    </row>
    <row r="1478">
      <c r="A1478" s="3" t="inlineStr">
        <is>
          <t>SG 20</t>
        </is>
      </c>
      <c r="B1478" s="2" t="inlineStr">
        <is>
          <t>SAL SG 20 membránszegély, 200 mm</t>
        </is>
      </c>
      <c r="C1478" s="1" t="n">
        <v>1250.0</v>
      </c>
      <c r="D1478" s="7" t="n">
        <f>HYPERLINK("https://www.somogyi.hu/product/sal-sg-20-membranszegely-200-mm-sg-20-2603","https://www.somogyi.hu/product/sal-sg-20-membranszegely-200-mm-sg-20-2603")</f>
        <v>0.0</v>
      </c>
      <c r="E1478" s="7" t="n">
        <f>HYPERLINK("https://www.somogyi.hu/data/img/product_main_images/small/02603.jpg","https://www.somogyi.hu/data/img/product_main_images/small/02603.jpg")</f>
        <v>0.0</v>
      </c>
      <c r="F1478" s="2" t="inlineStr">
        <is>
          <t>5998312729182</t>
        </is>
      </c>
      <c r="G1478" s="4" t="inlineStr">
        <is>
          <t>Hogyan hozhatja vissza régi hangszórójának eredeti hangzását, hogy az újra úgy szóljon, mint a legszebb napjaiban? A SAL SG 20 membránszegély tökéletes megoldást kínál a 200 mm-es hangszórók felújítására, így elfelejtheti a drága cserét vagy az alacsony minőségű alternatívákat. Ez az egyszerűen használható, mégis rendkívül hatékony kiegészítő ideális választás azoknak, akik szeretnék otthon, költséghatékonyan helyreállítani hangszórójuk teljesítményét.
Tartósság és minőség egy termékben
A SAL SG 20 membránszegély tartós szivacs anyagból készült, amely biztosítja a hosszú élettartamot és az optimális hangzást. A 200 mm-es átmérő révén ez a szegély pontosan illeszkedik a szabványos méretű hangszórókhoz, miközben rugalmasságával kiváló rezgéscsillapítást nyújt. A fekete szín letisztult megjelenést kölcsönöz a hangszórónak, így az esztétika sem szenved csorbát a felújítás során.
Egyszerű javítás, lenyűgöző eredmény
Ez a membránszegély úgy lett kialakítva, hogy minimális műszaki ismeretekkel is könnyedén alkalmazható legyen. A csere után hangszórója visszanyeri eredeti teljesítményét, így újra élvezheti a tiszta, részletgazdag hangzást. Legyen szó zenehallgatásról, filmekről vagy más hangosítási célokról, a SAL SG 20 biztosítja a kifogástalan élményt.
Gazdaságos és környezettudatos választás
Egy sérült hangszóró kidobása helyett válassza a felújítást, amely nemcsak pénztárcabarát megoldás, hanem hozzájárul a fenntarthatósághoz is. A SAL SG 20 membránszegéllyel meghosszabbíthatja eszközei élettartamát, miközben csökkenti a hulladék mennyiségét.
Hozza ki a legtöbbet régi hangszórójából ezzel a praktikus és megbízható termékkel!</t>
        </is>
      </c>
    </row>
    <row r="1479">
      <c r="A1479" s="3" t="inlineStr">
        <is>
          <t>HT 203</t>
        </is>
      </c>
      <c r="B1479" s="2" t="inlineStr">
        <is>
          <t>SAL HT 203 süllyesztett fogantyú hangfalhoz, fém, 220 x 163 x 60 mm</t>
        </is>
      </c>
      <c r="C1479" s="1" t="n">
        <v>4490.0</v>
      </c>
      <c r="D1479" s="7" t="n">
        <f>HYPERLINK("https://www.somogyi.hu/product/sal-ht-203-sullyesztett-fogantyu-hangfalhoz-fem-220-x-163-x-60-mm-ht-203-6921","https://www.somogyi.hu/product/sal-ht-203-sullyesztett-fogantyu-hangfalhoz-fem-220-x-163-x-60-mm-ht-203-6921")</f>
        <v>0.0</v>
      </c>
      <c r="E1479" s="7" t="n">
        <f>HYPERLINK("https://www.somogyi.hu/data/img/product_main_images/small/06921.jpg","https://www.somogyi.hu/data/img/product_main_images/small/06921.jpg")</f>
        <v>0.0</v>
      </c>
      <c r="F1479" s="2" t="inlineStr">
        <is>
          <t>5998312759349</t>
        </is>
      </c>
      <c r="G1479" s="4" t="inlineStr">
        <is>
          <t>Hogyan teheti egyszerűbbé és biztonságosabbá hangfala szállítását, miközben megőrzi annak professzionális megjelenését? A SAL HT 203 süllyesztett fogantyú kifejezetten hangfalakhoz és hangdobozokhoz készült, hogy megkönnyítse azok mozgatását és szállítását. Ez a masszív, fém kivitelű fogantyú nemcsak praktikus megoldást kínál, hanem hozzájárul a hangfalak esztétikus és profi megjelenéséhez is.
Masszív anyaghasználat és tartós kialakítás
A fogantyú strapabíró fémből készült, amely hosszú távú megbízhatóságot biztosít még intenzív használat esetén is. A 220 x 163 x 60 mm-es méret ideális, hogy stabil és kényelmes fogást nyújtson, miközben diszkréten illeszkedik a hangfal felületébe. A süllyesztett kialakításnak köszönhetően a fogantyú nem nyúlik ki, így nem akadályozza a tárolást vagy a szállítást.
Professzionális megjelenés és funkcionalitás
A fogantyú fekete színe letisztult és modern megjelenést biztosít, amely harmonikusan illeszkedik bármilyen típusú hangfalhoz. Ez a termék nemcsak esztétikai szempontból tökéletes választás, hanem funkcionalitásában is kiemelkedő. A masszív fém kivitel biztosítja, hogy a fogantyú könnyedén elbírja a nagyobb súlyú hangdobozokat is, így különösen alkalmas professzionális alkalmazásokhoz, például koncertekhez, színpadi használathoz vagy rendezvényekhez.
Egyszerű beépíthetőség és széleskörű alkalmazhatóság
A SAL HT 203 fogantyú könnyen rögzíthető, így gyorsan és problémamentesen integrálható bármilyen hangfalba vagy hangdobozba. Legyen szó kisebb hordozható rendszerekről vagy nagyobb színpadi hangszórókról, ez a termék univerzális megoldást kínál minden típusú felhasználásra.
Miért válassza a SAL HT 203 süllyesztett fogantyút?
Ez a termék a tartósság, az esztétikum és a funkcionalitás tökéletes kombinációját nyújtja. A masszív fém anyag és a praktikus kialakítás biztosítja, hogy hangfala biztonságosan és kényelmesen szállítható legyen, miközben megőrzi a professzionális megjelenést. Ideális választás mindazok számára, akik megbízható és stílusos megoldást keresnek hangszóróik kezeléséhez.
Tegye kényelmessé és biztonságossá hangfalai szállítását a SAL HT 203 süllyesztett fogantyúval, és élvezze a masszív kivitel és a profi megjelenés előnyeit!</t>
        </is>
      </c>
    </row>
    <row r="1480">
      <c r="A1480" s="6" t="inlineStr">
        <is>
          <t xml:space="preserve">   Hangtechnika / Hangszerek</t>
        </is>
      </c>
      <c r="B1480" s="6" t="inlineStr">
        <is>
          <t/>
        </is>
      </c>
      <c r="C1480" s="6" t="inlineStr">
        <is>
          <t/>
        </is>
      </c>
      <c r="D1480" s="6" t="inlineStr">
        <is>
          <t/>
        </is>
      </c>
      <c r="E1480" s="6" t="inlineStr">
        <is>
          <t/>
        </is>
      </c>
      <c r="F1480" s="6" t="inlineStr">
        <is>
          <t/>
        </is>
      </c>
      <c r="G1480" s="6" t="inlineStr">
        <is>
          <t/>
        </is>
      </c>
    </row>
    <row r="1481">
      <c r="A1481" s="3" t="inlineStr">
        <is>
          <t>HRD1</t>
        </is>
      </c>
      <c r="B1481" s="2" t="inlineStr">
        <is>
          <t>Home HRD1 feltekerhető dobszett, 7 választható ritmus és 10 demó dal, dobolás felvétele és visszajátszása, Bluetooth funkció</t>
        </is>
      </c>
      <c r="C1481" s="1" t="n">
        <v>21690.0</v>
      </c>
      <c r="D1481" s="7" t="n">
        <f>HYPERLINK("https://www.somogyi.hu/product/home-hrd1-feltekerheto-dobszett-7-valaszthato-ritmus-es-10-demo-dal-dobolas-felvetele-es-visszajatszasa-bluetooth-funkcio-hrd1-18480","https://www.somogyi.hu/product/home-hrd1-feltekerheto-dobszett-7-valaszthato-ritmus-es-10-demo-dal-dobolas-felvetele-es-visszajatszasa-bluetooth-funkcio-hrd1-18480")</f>
        <v>0.0</v>
      </c>
      <c r="E1481" s="7" t="n">
        <f>HYPERLINK("https://www.somogyi.hu/data/img/product_main_images/small/18480.jpg","https://www.somogyi.hu/data/img/product_main_images/small/18480.jpg")</f>
        <v>0.0</v>
      </c>
      <c r="F1481" s="2" t="inlineStr">
        <is>
          <t>5999084964986</t>
        </is>
      </c>
      <c r="G1481" s="4" t="inlineStr">
        <is>
          <t>Hogyan hozhatja el a dobolás élményét bárhová, kompromisszumok nélkül? A Home HRD1 feltekerhető dobszett tökéletes választás mind kezdő, mind haladó dobosok számára, akik egy kompakt, könnyen hordozható, mégis funkciókban gazdag eszközt keresnek. Ez az innovatív hangszer ötvözi a modern technológiát a klasszikus dobolás élményével, miközben kényelmesen használható otthon vagy akár útközben is.
Kompakt kialakítás a maximális hordozhatóságért
A feltekerhető dobszett szilikon alapanyaga rugalmas és tartós, így egyszerűen összetekerhető és szállítható. Mérete 48 x 32 x 5 cm, tömege pedig mindössze 1,1 kg, így könnyedén elfér akár egy kisebb táskában is. A tartozék pedálok és dobverők biztosítják, hogy minden szükséges kiegészítő kéznél legyen a doboláshoz.
Innovatív funkciók a tökéletes játékélményért
A Home HRD1 dobszett számos fejlett funkcióval rendelkezik, amelyek gazdagítják a dobolási élményt. A beépített 7 választható ritmus és 10 demó dal segítségével változatosan gyakorolhat vagy szórakoztathatja közönségét. A beépített MIDI funkció lehetővé teszi a zenei szerkesztést és felvételek készítését, míg a Bluetooth kompatibilitásrévén könnyedén csatlakozhat külső eszközökhöz, például okostelefonhoz vagy tablethez.
Sokoldalú hangzás és testreszabhatóság
A dobszett beépített dupla hangszóróval rendelkezik, amely tiszta és erőteljes hangzást biztosít. A hangerő és a tempó szabadon állítható, hogy a játék mindig az Ön igényeihez igazodjon. Külső hangszóróval vagy fejhallgatóval is használható, így csendes gyakorláshoz vagy hangos fellépésekhez is ideális választás.
Egyszerű használat és hosszú üzemidő
A készülék beépített lítium-ion akkumulátorral működik, amely hosszan tartó használatot tesz lehetővé. Az állapotjelző LED-ek segítenek nyomon követni az akkumulátor állapotát. A dobszett USB-C kábellel tölthető, és kompatibilis az SA 24USB vagy SA 50USB típusú adapterekkel (külön vásárolható).
Tartozékok és extrák
A csomag része a doboláshoz szükséges minden kiegészítő, beleértve a pedálokat, dobverőket és USB-C kábelt. Ezek biztosítják, hogy a dobszett azonnal használatra kész legyen, bárhol is legyen szükség rá.
Miért válassza a Home HRD1 feltekerhető dobszettet?
Ez az innovatív hangszer tökéletesen ötvözi a hordozhatóságot, a modern technológiát és a sokoldalú funkcionalitást. Ideális választás kezdőknek, akik még csak most ismerkednek a dobolás alapjaival, és haladó zenészeknek, akik egy könnyen kezelhető, mégis professzionális eszközt keresnek gyakorláshoz vagy fellépésekhez.
Fedezze fel a Home HRD1 feltekerhető dobszett előnyeit, és élvezze a szabadságot, hogy bárhol és bármikor dobolhat!</t>
        </is>
      </c>
    </row>
    <row r="1482">
      <c r="A1482" s="3" t="inlineStr">
        <is>
          <t>HFP1</t>
        </is>
      </c>
      <c r="B1482" s="2" t="inlineStr">
        <is>
          <t>Home HFP1 összecsukható zongora, 88 billentyű, 128 választható hangszín és ritmus, 20 demó dal, beépített sztereó hangszóró, LCD kijelző, Bluetooth kompatibilis</t>
        </is>
      </c>
      <c r="C1482" s="1" t="n">
        <v>50290.0</v>
      </c>
      <c r="D1482" s="7" t="n">
        <f>HYPERLINK("https://www.somogyi.hu/product/home-hfp1-osszecsukhato-zongora-88-billentyu-128-valaszthato-hangszin-es-ritmus-20-demo-dal-beepitett-sztereo-hangszoro-lcd-kijelzo-bluetooth-kompatibilis-hfp1-18479","https://www.somogyi.hu/product/home-hfp1-osszecsukhato-zongora-88-billentyu-128-valaszthato-hangszin-es-ritmus-20-demo-dal-beepitett-sztereo-hangszoro-lcd-kijelzo-bluetooth-kompatibilis-hfp1-18479")</f>
        <v>0.0</v>
      </c>
      <c r="E1482" s="7" t="n">
        <f>HYPERLINK("https://www.somogyi.hu/data/img/product_main_images/small/18479.jpg","https://www.somogyi.hu/data/img/product_main_images/small/18479.jpg")</f>
        <v>0.0</v>
      </c>
      <c r="F1482" s="2" t="inlineStr">
        <is>
          <t>5999084964979</t>
        </is>
      </c>
      <c r="G1482" s="4" t="inlineStr">
        <is>
          <t>Hogyan teheti élvezetesebbé a zongorázást, akár otthon, akár útközben, egy kompakt és sokoldalú hangszerrel? A Home HFP1 összecsukható zongora tökéletes választás mind a kezdők, mind a profi zenészek számára. Ez a modern, hordozható hangszer az innovatív technológiát ötvözi a klasszikus zongorajáték élményével, miközben kompakt kialakításának köszönhetően bármilyen környezetben könnyedén használható.
Valódi zongoraélmény kompakt kivitelben
Az összecsukható zongora 88 billentyűt kínál, amelyek pontosan megegyeznek egy hagyományos zongora méreteivel, így biztosítva a természetes játékérzetet. A hangszer 128 választható hangszínnel és ritmussal, valamint 20 beépített demó dallal teszi színesebbé a gyakorlást vagy az előadásokat. A beépített sztereó hangszórók gazdag, tiszta hangzást biztosítanak, míg a hangerő 16 előre beállított szinten szabályozható, hogy mindig az adott környezethez igazítható legyen.
Intelligens funkciók a modern igényekhez
A Home HFP1 zongora számos innovatív funkcióval rendelkezik, hogy megfeleljen a mai zenei világ elvárásainak. Az LCD kijelző egyszerűvé teszi a beállításokat, a Bluetooth kompatibilitás pedig lehetővé teszi a külső eszközökhöz való csatlakozást. A hangszer MIDI szoftverrel kompatibilis, így zenei szerkesztéshez és felvételek készítéséhez is ideális választás. Az integrált metronóm funkció segíti a pontos ritmus gyakorlását, míg a zongorajáték felvétele és visszajátszása inspirációt nyújt a kreatív ötletek rögzítéséhez.
Kiváló hordozhatóság és tartozékok
A hangszer praktikus kialakítása lehetővé teszi az egyszerű szállítást és tárolást. Összecsukott állapotban csupán 62 x 22 x 13 cm, kinyitva pedig 124 x 22 x 6,5 cm méretű, így ideális szűk helyeken való használatra is. A mindössze 4 kg tömegű hangszerhez tartozék hordozótáska is jár, amely megkönnyíti az útközbeni használatot. A csomag része egy zengető pedál, egy tablet tartó, valamint egy USB-C töltőkábel, amelyek további kényelmet biztosítanak.
Gazdaságos és környezetbarát tápellátás
A zongora beépített lítium-ion akkumulátorral működik, amely hosszan tartó használatot biztosít egyetlen töltéssel. Az energiahatékony működés érdekében a termék kompatibilis az SA 24USB vagy SA 50USB típusú adapterekkel, amelyek külön vásárolhatók meg.
Miért válassza a Home HFP1 összecsukható zongorát?
Ez a hangszer ötvözi a klasszikus zongorajáték élményét a modern technológia kényelmével. Az innovatív funkciók, a hordozható kialakítás és a praktikus tartozékok garantálják, hogy minden környezetben, otthon vagy útközben is kiemelkedő zenei élményt nyújtson. Ideális kezdőknek, haladóknak és profi zenészeknek egyaránt.
Tegye színesebbé zenei világát a Home HFP1 összecsukható zongorával, és élvezze a határtalan lehetőségeket, amelyeket ez a sokoldalú hangszer kínál!</t>
        </is>
      </c>
    </row>
    <row r="1483">
      <c r="A1483" s="6" t="inlineStr">
        <is>
          <t xml:space="preserve">   Audio-video kiegészítők / Jel-átalakító</t>
        </is>
      </c>
      <c r="B1483" s="6" t="inlineStr">
        <is>
          <t/>
        </is>
      </c>
      <c r="C1483" s="6" t="inlineStr">
        <is>
          <t/>
        </is>
      </c>
      <c r="D1483" s="6" t="inlineStr">
        <is>
          <t/>
        </is>
      </c>
      <c r="E1483" s="6" t="inlineStr">
        <is>
          <t/>
        </is>
      </c>
      <c r="F1483" s="6" t="inlineStr">
        <is>
          <t/>
        </is>
      </c>
      <c r="G1483" s="6" t="inlineStr">
        <is>
          <t/>
        </is>
      </c>
    </row>
    <row r="1484">
      <c r="A1484" s="3" t="inlineStr">
        <is>
          <t>DTA AUDIO</t>
        </is>
      </c>
      <c r="B1484" s="2" t="inlineStr">
        <is>
          <t>SAL DTA AUDIO digitális-analóg audió átalakító, 2in1 TOSLINK és koaxiális RCA bemenet, 2 RCA kimenet, hálózati adapter</t>
        </is>
      </c>
      <c r="C1484" s="1" t="n">
        <v>10990.0</v>
      </c>
      <c r="D1484" s="7" t="n">
        <f>HYPERLINK("https://www.somogyi.hu/product/sal-dta-audio-digitalis-analog-audio-atalakito-2in1-toslink-es-koaxialis-rca-bemenet-2-rca-kimenet-halozati-adapter-dta-audio-16890","https://www.somogyi.hu/product/sal-dta-audio-digitalis-analog-audio-atalakito-2in1-toslink-es-koaxialis-rca-bemenet-2-rca-kimenet-halozati-adapter-dta-audio-16890")</f>
        <v>0.0</v>
      </c>
      <c r="E1484" s="7" t="n">
        <f>HYPERLINK("https://www.somogyi.hu/data/img/product_main_images/small/16890.jpg","https://www.somogyi.hu/data/img/product_main_images/small/16890.jpg")</f>
        <v>0.0</v>
      </c>
      <c r="F1484" s="2" t="inlineStr">
        <is>
          <t>5999084949228</t>
        </is>
      </c>
      <c r="G1484" s="4" t="inlineStr">
        <is>
          <t>Szeretné, ha modern eszközei, mint az LCD TV, DVD vagy Blu-ray lejátszó, kiváló minőségben szólnának régi sztereó berendezésein is? A Home DTA AUDIO digitális-analóg audió átalakító segítségével ez most lehetséges! 
Ezzel a készülékkel könnyedén csatlakoztathatja digitális hangkimenettel rendelkező készülékeit olyan HiFi rendszerekhez vagy aktív hangszórókhoz, amelyek nem rendelkeznek digitális bemenettel. Az átalakító lehetővé teszi, hogy bármilyen digitális vagy optikai audió jelet hagyományos analóg sztereó jellé alakítson, ezáltal megszólaltatva a modern eszközök hangját kiváló minőségben. Ideális választás, ha például egy LCD TV, Set Top Box, DVB-T vevő vagy DVD/Blu-ray lejátszó hangját szeretné a régi, megbízható HiFi rendszeren vagy aktív hangdobozokon élvezni.
A készülék kétféle bemenettel rendelkezik: optikai TOSLINK és digitális koaxiális RCA, így bármilyen digitális hangforráshoz könnyedén csatlakoztatható. A kimenet 2 x RCA sztereó csatlakozóaljzat, amely analóg hangjeleket továbbít, tökéletesen illeszkedve a régi rendszerekhez. Az átalakító kompakt méreteinek köszönhetően (51 x 26 x 41 mm), könnyen elhelyezhető bármilyen rendszerben, és egyszerűen beüzemelhető. A csomag részeként egy 1,5 méteres optikai csatlakozókábel és egy hálózati adapter is jár (5 V / 1 A), így minden szükséges tartozék a rendelkezésére áll a gyors és kényelmes használathoz.
Ne hagyja, hogy régi hangrendszere elavulttá váljon! Rendelje meg a Home DTA AUDIO digitális-analóg audió átalakítót, és élvezze modern eszközei hangját a kiváló minőségű, klasszikus sztereó rendszerein keresztül!</t>
        </is>
      </c>
    </row>
    <row r="1485">
      <c r="A1485" s="3" t="inlineStr">
        <is>
          <t>ATD VIDEO</t>
        </is>
      </c>
      <c r="B1485" s="2" t="inlineStr">
        <is>
          <t>Home ATD VIDEO analóg-digitális videóátalakító, RCA-HDMI, USB-A - miniUSB tápkábel</t>
        </is>
      </c>
      <c r="C1485" s="1" t="n">
        <v>12490.0</v>
      </c>
      <c r="D1485" s="7" t="n">
        <f>HYPERLINK("https://www.somogyi.hu/product/home-atd-video-analog-digitalis-videoatalakito-rca-hdmi-usb-a-miniusb-tapkabel-atd-video-16620","https://www.somogyi.hu/product/home-atd-video-analog-digitalis-videoatalakito-rca-hdmi-usb-a-miniusb-tapkabel-atd-video-16620")</f>
        <v>0.0</v>
      </c>
      <c r="E1485" s="7" t="n">
        <f>HYPERLINK("https://www.somogyi.hu/data/img/product_main_images/small/16620.jpg","https://www.somogyi.hu/data/img/product_main_images/small/16620.jpg")</f>
        <v>0.0</v>
      </c>
      <c r="F1485" s="2" t="inlineStr">
        <is>
          <t>5999084946524</t>
        </is>
      </c>
      <c r="G1485" s="4" t="inlineStr">
        <is>
          <t>Az ATD VIDEO Analóg- digitális videó átalakító alkalmas digitális kimenettel nem rendelkező régi készülékek összekötésére, új digitális bemenettel rendelkező berendezésekkel. 
Csatlakoztassa régi berendezéseit (pl. videó magnó, DVD lejátszó, játékkonzolok, videó kamerák, set top boxok) új tévékhez vagy projektorokhoz. A készülék átalakítja a hagyományos analóg jelet digitális jellé.
3 db RCA csatlakozóaljzatú bemenettel ellátott (kompozit videó és sztereó hang), valamint 1 db HDMI aljzattal. 
Tartozéka a miniUSB- USB A tápkábel.</t>
        </is>
      </c>
    </row>
    <row r="1486">
      <c r="A1486" s="6" t="inlineStr">
        <is>
          <t xml:space="preserve">   Audio-video kiegészítők / HDMI kábel, audio-video kábel</t>
        </is>
      </c>
      <c r="B1486" s="6" t="inlineStr">
        <is>
          <t/>
        </is>
      </c>
      <c r="C1486" s="6" t="inlineStr">
        <is>
          <t/>
        </is>
      </c>
      <c r="D1486" s="6" t="inlineStr">
        <is>
          <t/>
        </is>
      </c>
      <c r="E1486" s="6" t="inlineStr">
        <is>
          <t/>
        </is>
      </c>
      <c r="F1486" s="6" t="inlineStr">
        <is>
          <t/>
        </is>
      </c>
      <c r="G1486" s="6" t="inlineStr">
        <is>
          <t/>
        </is>
      </c>
    </row>
    <row r="1487">
      <c r="A1487" s="3" t="inlineStr">
        <is>
          <t>HDS 4,5</t>
        </is>
      </c>
      <c r="B1487" s="2" t="inlineStr">
        <is>
          <t>Home HDS 4,5 HDMI kábel, V1.4, aranyozott, 4,5m</t>
        </is>
      </c>
      <c r="C1487" s="1" t="n">
        <v>1850.0</v>
      </c>
      <c r="D1487" s="7" t="n">
        <f>HYPERLINK("https://www.somogyi.hu/product/home-hds-4-5-hdmi-kabel-v1-4-aranyozott-4-5m-hds-4-5-14201","https://www.somogyi.hu/product/home-hds-4-5-hdmi-kabel-v1-4-aranyozott-4-5m-hds-4-5-14201")</f>
        <v>0.0</v>
      </c>
      <c r="E1487" s="7" t="n">
        <f>HYPERLINK("https://www.somogyi.hu/data/img/product_main_images/small/14201.jpg","https://www.somogyi.hu/data/img/product_main_images/small/14201.jpg")</f>
        <v>0.0</v>
      </c>
      <c r="F1487" s="2" t="inlineStr">
        <is>
          <t>5999084922498</t>
        </is>
      </c>
      <c r="G1487" s="4" t="inlineStr">
        <is>
          <t>Keresse az igényeinek megfelelő hosszúsággal rendelkező HDMI kábeleket!
A HDS 4,5 típus masszív kialakítású aranyozott V 1.4 verziójú HDMI kábel. Hosszúsága: 4,5 méter.
A kábel mindkét végén „A” típusú dugóval rendelkezik. Válassza a minőségi termékeket és rendeljen webáruházunkból.</t>
        </is>
      </c>
    </row>
    <row r="1488">
      <c r="A1488" s="3" t="inlineStr">
        <is>
          <t>VC 3DX</t>
        </is>
      </c>
      <c r="B1488" s="2" t="inlineStr">
        <is>
          <t>Home VC 3DX videókábel, 21 pólusú SCART dugó-21 pólusú SCART dugó, sztereó, 1,5m</t>
        </is>
      </c>
      <c r="C1488" s="1" t="n">
        <v>1490.0</v>
      </c>
      <c r="D1488" s="7" t="n">
        <f>HYPERLINK("https://www.somogyi.hu/product/home-vc-3dx-videokabel-21-polusu-scart-dugo-21-polusu-scart-dugo-sztereo-1-5m-vc-3dx-2167","https://www.somogyi.hu/product/home-vc-3dx-videokabel-21-polusu-scart-dugo-21-polusu-scart-dugo-sztereo-1-5m-vc-3dx-2167")</f>
        <v>0.0</v>
      </c>
      <c r="E1488" s="7" t="n">
        <f>HYPERLINK("https://www.somogyi.hu/data/img/product_main_images/small/02167.jpg","https://www.somogyi.hu/data/img/product_main_images/small/02167.jpg")</f>
        <v>0.0</v>
      </c>
      <c r="F1488" s="2" t="inlineStr">
        <is>
          <t>5998312724316</t>
        </is>
      </c>
      <c r="G1488" s="4" t="inlineStr">
        <is>
          <t>Hogyan biztosíthatja a kiváló minőségű hang- és képátvitelt régebbi típusú készülékei között?
A Home VC 3DX videókábel ideális megoldás, ha 21 pólusú SCART csatlakozós eszközeit szeretné összekötni, legyen szó DVD-lejátszóról, videomagnóról vagy régebbi televízióról. Ez a 1,5 méter hosszú, sztereó kábel tökéletes átvitelt nyújt, miközben könnyen kezelhető és rendkívül megbízható.
Kiváló csatlakozás és stabil jelátvitel
A Home VC 3DX kábel mindkét végén 21 pólusú SCART dugóval rendelkezik, amely biztosítja a teljes értékű hang- és képátvitelt. A 21 pólusos bekötésnek köszönhetően a kábel alkalmas sztereó hangátvitelre is, így minden eszközön élvezheti a kiváló hangminőséget. A 1,5 méteres hosszúság elegendő távolságot biztosít a kényelmes telepítéshez, akár otthoni, akár irodai környezetben használja.
Praktikus kialakítás és strapabíró felépítés
A kábel egyszerű, mégis robusztus kialakítása hosszú távú használatra készült. Bár nem rendelkezik elforgatható csatlakozókkal vagy aranyozott végekkel, megbízható működést biztosít a mindennapi felhasználás során. A bliszteres csomagolás megóvja a terméket a sérülésektől a szállítás és tárolás alatt, így biztos lehet benne, hogy kifogástalan állapotban kapja kézhez.
Miért érdemes a Home VC 3DX videókábelt választani?
- Mindkét végén 21 pólusú SCART dugóval ellátott, így kiváló minőségű hang- és képátvitelt nyújt
- 1,5 méteres kábelhossz biztosítja a kényelmes telepítést különböző helyzetekben
- Sztereó hangátvitelre alkalmas, így gazdag hangélményt kínál
- Bliszteres csomagolás védi a terméket a szállítás és tárolás során
Ne hagyja, hogy a rossz minőségű kábelek rontsák a multimédiás élményt! Válassza a Home VC 3DX videókábelt, és élvezze a stabil, tiszta hang- és képátvitelt minden alkalommal!</t>
        </is>
      </c>
    </row>
    <row r="1489">
      <c r="A1489" s="3" t="inlineStr">
        <is>
          <t>V 50S</t>
        </is>
      </c>
      <c r="B1489" s="2" t="inlineStr">
        <is>
          <t>Home V 50S videóátalakító, 21 pólusú euro dugó, RCA aljzat, SVHS aljzat</t>
        </is>
      </c>
      <c r="C1489" s="1" t="n">
        <v>1150.0</v>
      </c>
      <c r="D1489" s="7" t="n">
        <f>HYPERLINK("https://www.somogyi.hu/product/home-v-50s-videoatalakito-21-polusu-euro-dugo-rca-aljzat-svhs-aljzat-v-50s-4217","https://www.somogyi.hu/product/home-v-50s-videoatalakito-21-polusu-euro-dugo-rca-aljzat-svhs-aljzat-v-50s-4217")</f>
        <v>0.0</v>
      </c>
      <c r="E1489" s="7" t="n">
        <f>HYPERLINK("https://www.somogyi.hu/data/img/product_main_images/small/04217.jpg","https://www.somogyi.hu/data/img/product_main_images/small/04217.jpg")</f>
        <v>0.0</v>
      </c>
      <c r="F1489" s="2" t="inlineStr">
        <is>
          <t>5998312737484</t>
        </is>
      </c>
      <c r="G1489" s="4" t="inlineStr">
        <is>
          <t>Nálunk garantáltan megtalálja az igényeinek megfelelő euro dugókat! 
A V 50S sztereo átalakító kapcsolóval ellátott 21 pólósú euró dugó, amely 3 db RCA aljzattal és SVHS aljzattal rendelkezik. Válassza a minőségi termékeket és rendeljen webáruházunkból.</t>
        </is>
      </c>
    </row>
    <row r="1490">
      <c r="A1490" s="3" t="inlineStr">
        <is>
          <t>HDS 1</t>
        </is>
      </c>
      <c r="B1490" s="2" t="inlineStr">
        <is>
          <t>Home HDS 1 HDMI kábel, V1.4, aranyozott, 1m</t>
        </is>
      </c>
      <c r="C1490" s="1" t="n">
        <v>1390.0</v>
      </c>
      <c r="D1490" s="7" t="n">
        <f>HYPERLINK("https://www.somogyi.hu/product/home-hds-1-hdmi-kabel-v1-4-aranyozott-1m-hds-1-14199","https://www.somogyi.hu/product/home-hds-1-hdmi-kabel-v1-4-aranyozott-1m-hds-1-14199")</f>
        <v>0.0</v>
      </c>
      <c r="E1490" s="7" t="n">
        <f>HYPERLINK("https://www.somogyi.hu/data/img/product_main_images/small/14199.jpg","https://www.somogyi.hu/data/img/product_main_images/small/14199.jpg")</f>
        <v>0.0</v>
      </c>
      <c r="F1490" s="2" t="inlineStr">
        <is>
          <t>5999084922474</t>
        </is>
      </c>
      <c r="G1490" s="4" t="inlineStr">
        <is>
          <t>Keresse az igényeinek megfelelő hosszúsággal rendelkező HDMI kábeleket!
A HDS 1 típus masszív kialakítású aranyozott V 1.4 verziójú HDMI kábel. Hosszúsága: 1 méter.
A kábel mindkét végén „A” típusú dugóval rendelkezik. Válassza a minőségi termékeket és rendeljen webáruházunkból.</t>
        </is>
      </c>
    </row>
    <row r="1491">
      <c r="A1491" s="3" t="inlineStr">
        <is>
          <t>HDS 2</t>
        </is>
      </c>
      <c r="B1491" s="2" t="inlineStr">
        <is>
          <t>Home HDS 2 HDMI kábel, V1.4, aranyozott, 2m</t>
        </is>
      </c>
      <c r="C1491" s="1" t="n">
        <v>1490.0</v>
      </c>
      <c r="D1491" s="7" t="n">
        <f>HYPERLINK("https://www.somogyi.hu/product/home-hds-2-hdmi-kabel-v1-4-aranyozott-2m-hds-2-14200","https://www.somogyi.hu/product/home-hds-2-hdmi-kabel-v1-4-aranyozott-2m-hds-2-14200")</f>
        <v>0.0</v>
      </c>
      <c r="E1491" s="7" t="n">
        <f>HYPERLINK("https://www.somogyi.hu/data/img/product_main_images/small/14200.jpg","https://www.somogyi.hu/data/img/product_main_images/small/14200.jpg")</f>
        <v>0.0</v>
      </c>
      <c r="F1491" s="2" t="inlineStr">
        <is>
          <t>5999084922481</t>
        </is>
      </c>
      <c r="G1491" s="4" t="inlineStr">
        <is>
          <t>Keresse az igényeinek megfelelő hosszúsággal rendelkező HDMI kábeleket!
A HDS 2 típus masszív kialakítású aranyozott V 1.4 verziójú HDMI kábel. Hosszúsága: 2 méter.
A kábel mindkét végén „A” típusú dugóval rendelkezik. Válassza a minőségi termékeket és rendeljen webáruházunkból.</t>
        </is>
      </c>
    </row>
    <row r="1492">
      <c r="A1492" s="3" t="inlineStr">
        <is>
          <t>A 4</t>
        </is>
      </c>
      <c r="B1492" s="2" t="inlineStr">
        <is>
          <t>Home A 4 videókábel, RCA-RCA, 1.5m</t>
        </is>
      </c>
      <c r="C1492" s="1" t="n">
        <v>1090.0</v>
      </c>
      <c r="D1492" s="7" t="n">
        <f>HYPERLINK("https://www.somogyi.hu/product/home-a-4-videokabel-rca-rca-1-5m-a-4-5237","https://www.somogyi.hu/product/home-a-4-videokabel-rca-rca-1-5m-a-4-5237")</f>
        <v>0.0</v>
      </c>
      <c r="E1492" s="7" t="n">
        <f>HYPERLINK("https://www.somogyi.hu/data/img/product_main_images/small/05237.jpg","https://www.somogyi.hu/data/img/product_main_images/small/05237.jpg")</f>
        <v>0.0</v>
      </c>
      <c r="F1492" s="2" t="inlineStr">
        <is>
          <t>5998312746240</t>
        </is>
      </c>
      <c r="G1492" s="4" t="inlineStr">
        <is>
          <t>Hogyan érheti el a kiváló kép- és hangminőséget otthoni szórakoztató rendszereiben? A Home A 4 videókábel megbízható megoldást kínál videó- és audiójeleinek stabil továbbításához. 
A 3x RCA dugó – 3x RCA dugó kialakítás garantálja a tökéletes csatlakozást, legyen szó DVD-lejátszóról, televízióról, játékkonzolról vagy más kompatibilis eszközről. Az 1.5 méteres kábelhossz ideális a közel elhelyezett készülékek csatlakoztatásához, biztosítva a rendezett kábelfelületet. Kiválóan alkalmas az analóg hang- és videójelek megbízható továbbítására, így minden részlet gazdagon és tisztán jelenik meg.
Válassza a Home A 4 videókábelt, és élvezze a zavartalan, kiváló minőségű kép- és hangátvitelt otthona bármely szórakoztató rendszerében!</t>
        </is>
      </c>
    </row>
    <row r="1493">
      <c r="A1493" s="3" t="inlineStr">
        <is>
          <t>VC 3D</t>
        </is>
      </c>
      <c r="B1493" s="2" t="inlineStr">
        <is>
          <t>Home VC 3D videókábel, 21 pólusú euro dugó, 1,5m</t>
        </is>
      </c>
      <c r="C1493" s="1" t="n">
        <v>1290.0</v>
      </c>
      <c r="D1493" s="7" t="n">
        <f>HYPERLINK("https://www.somogyi.hu/product/home-vc-3d-videokabel-21-polusu-euro-dugo-1-5m-vc-3d-1956","https://www.somogyi.hu/product/home-vc-3d-videokabel-21-polusu-euro-dugo-1-5m-vc-3d-1956")</f>
        <v>0.0</v>
      </c>
      <c r="E1493" s="7" t="n">
        <f>HYPERLINK("https://www.somogyi.hu/data/img/product_main_images/small/01956.jpg","https://www.somogyi.hu/data/img/product_main_images/small/01956.jpg")</f>
        <v>0.0</v>
      </c>
      <c r="F1493" s="2" t="inlineStr">
        <is>
          <t>2220057200057</t>
        </is>
      </c>
      <c r="G1493" s="4" t="inlineStr">
        <is>
          <t>A VC 3D típus a kábel mindkét végén 21 pólusú euró dugóval rendelkezik. A termék előnye, hogy a 21 pólus bekötve található. A kábel hossza: 1,5 méter. Válassza a minőségi termékeket és rendeljen webáruházunkból.</t>
        </is>
      </c>
    </row>
    <row r="1494">
      <c r="A1494" s="3" t="inlineStr">
        <is>
          <t>STP 1,5</t>
        </is>
      </c>
      <c r="B1494" s="2" t="inlineStr">
        <is>
          <t>Home STP 1,5, STP patch kábel, CAT 8, árnyékolt RJ45, 40 Gbps, 1,5m</t>
        </is>
      </c>
      <c r="C1494" s="1" t="n">
        <v>839.0</v>
      </c>
      <c r="D1494" s="7" t="n">
        <f>HYPERLINK("https://www.somogyi.hu/product/home-stp-1-5-stp-patch-kabel-cat-8-arnyekolt-rj45-40-gbps-1-5m-stp-1-5-16853","https://www.somogyi.hu/product/home-stp-1-5-stp-patch-kabel-cat-8-arnyekolt-rj45-40-gbps-1-5m-stp-1-5-16853")</f>
        <v>0.0</v>
      </c>
      <c r="E1494" s="7" t="n">
        <f>HYPERLINK("https://www.somogyi.hu/data/img/product_main_images/small/16853.jpg","https://www.somogyi.hu/data/img/product_main_images/small/16853.jpg")</f>
        <v>0.0</v>
      </c>
      <c r="F1494" s="2" t="inlineStr">
        <is>
          <t>5999084948856</t>
        </is>
      </c>
      <c r="G1494" s="4" t="inlineStr">
        <is>
          <t>A Patch kábel segítségével akár 40 gigabit átviteli sebesség érhető el. Visszamenőleg kompatibilis a CAT 6A és CAT 5E komponensekkel. A Patch kábel árnyékolt RJ 45 csatlakozókkal és 1,5 m hosszú kábellel ellátott. UTP kábel helyett is alkalmazható.</t>
        </is>
      </c>
    </row>
    <row r="1495">
      <c r="A1495" s="3" t="inlineStr">
        <is>
          <t>V 50SX</t>
        </is>
      </c>
      <c r="B1495" s="2" t="inlineStr">
        <is>
          <t>Home V 50SX videó átalakító, 21 pólusó SCART dugó-3xRCA aljza+SVHS aljzat</t>
        </is>
      </c>
      <c r="C1495" s="1" t="n">
        <v>1290.0</v>
      </c>
      <c r="D1495" s="7" t="n">
        <f>HYPERLINK("https://www.somogyi.hu/product/home-v-50sx-video-atalakito-21-poluso-scart-dugo-3xrca-aljza-svhs-aljzat-v-50sx-4338","https://www.somogyi.hu/product/home-v-50sx-video-atalakito-21-poluso-scart-dugo-3xrca-aljza-svhs-aljzat-v-50sx-4338")</f>
        <v>0.0</v>
      </c>
      <c r="E1495" s="7" t="n">
        <f>HYPERLINK("https://www.somogyi.hu/data/img/product_main_images/small/04338.jpg","https://www.somogyi.hu/data/img/product_main_images/small/04338.jpg")</f>
        <v>0.0</v>
      </c>
      <c r="F1495" s="2" t="inlineStr">
        <is>
          <t>5998312738016</t>
        </is>
      </c>
      <c r="G1495" s="4" t="inlineStr">
        <is>
          <t>Hogyan teheti kompatibilissé régebbi eszközeit a modern készülékekkel, hogy zökkenőmentesen élvezhesse a multimédiás tartalmakat?
A Home V 50SX videó átalakító ideális választás azok számára, akik régebbi típusú SCART csatlakozóval ellátott eszközeiket szeretnék összekötni RCA vagy SVHS bemenettel rendelkező modern készülékekkel. Ez a sokoldalú átalakító egy 21 pólusú SCART dugót kínál, amelyhez 3 db RCA aljzat és egy SVHS aljzat is csatlakozik, így többféle csatlakoztatási lehetőséget biztosít egyetlen eszközön.
Széles körű csatlakoztatási lehetőség
A Home V 50SX átalakító 21 pólusú euro dugója tökéletesen illeszkedik a hagyományos SCART bemenetekhez, míg a 3 RCA aljzat (piros, fehér és sárga) segítségével könnyedén csatlakoztatható sztereó és kompozit videojelekhez. Ezen felül az SVHS aljzat további lehetőséget kínál a tisztább képminőség érdekében, különösen akkor, ha a csatlakoztatott eszközök támogatják ezt a szabványt.
Egyszerű használat és kapcsolóval ellátott kialakítás
Az átalakító egy beépített kapcsolóval rendelkezik, amely lehetővé teszi a bemeneti és kimeneti mód közötti egyszerű váltást, így rugalmasan használható különböző feladatokra. Legyen szó videomagnó, DVD-lejátszó vagy játékkonzol csatlakoztatásáról, ez az eszköz egyszerűvé és gyorssá teszi a telepítést. A bliszteres csomagolás biztosítja, hogy a termék sértetlenül érkezzen meg, és könnyen kezelhető legyen.
Miért érdemes a Home V 50SX videó átalakítót választani?
- 21 pólusú SCART dugóval rendelkezik, amely kompatibilis a legtöbb régebbi eszközzel
- 3 RCA aljzattal és SVHS aljzattal ellátott, így többféle csatlakoztatási lehetőséget kínál
- Beépített kapcsolóval rendelkezik, amely egyszerű váltást tesz lehetővé a bemenetek és kimenetek között
- Kiváló minőségű kialakítás, amely hosszú távon is megbízható működést biztosít
- Bliszteres csomagolásban érkezik, így könnyen tárolható és biztonságosan szállítható
Ne hagyja, hogy a régi és új eszközök közötti csatlakoztatási problémák korlátozzák a szórakozást! A Home V 50SX videó átalakítóval egyszerűen élvezheti régi készülékeinek tartalmait modern megjelenítő eszközökön is, kompromisszumok nélkül!</t>
        </is>
      </c>
    </row>
    <row r="1496">
      <c r="A1496" s="3" t="inlineStr">
        <is>
          <t>HD 4K/1,8</t>
        </is>
      </c>
      <c r="B1496" s="2" t="inlineStr">
        <is>
          <t>Home HD 4K/1,8 HDMI kábel, V2.0, aranyozott, 4Kx2K felbontás, 18 Gbps, 60fps, 1,8m</t>
        </is>
      </c>
      <c r="C1496" s="1" t="n">
        <v>2790.0</v>
      </c>
      <c r="D1496" s="7" t="n">
        <f>HYPERLINK("https://www.somogyi.hu/product/home-hd-4k-1-8-hdmi-kabel-v2-0-aranyozott-4kx2k-felbontas-18-gbps-60fps-1-8m-hd-4k-1-8-16440","https://www.somogyi.hu/product/home-hd-4k-1-8-hdmi-kabel-v2-0-aranyozott-4kx2k-felbontas-18-gbps-60fps-1-8m-hd-4k-1-8-16440")</f>
        <v>0.0</v>
      </c>
      <c r="E1496" s="7" t="n">
        <f>HYPERLINK("https://www.somogyi.hu/data/img/product_main_images/small/16440.jpg","https://www.somogyi.hu/data/img/product_main_images/small/16440.jpg")</f>
        <v>0.0</v>
      </c>
      <c r="F1496" s="2" t="inlineStr">
        <is>
          <t>5999084944728</t>
        </is>
      </c>
      <c r="G1496" s="4" t="inlineStr">
        <is>
          <t>A HDMI kábel alkalmas laptopok, asztali PC-k, DVD/Blu-Ray lejátszók, TV-k, játékkonzolok, digitális fényképezőgépek/kamerák, okostelefonokhoz. Ideális HDR és 3D megjelenítéséhez. Az 1,8 m hosszú kábel mindkét végén aranyozott „A” dugó található. V 2.0 verzió és többrétegű árnyékolás jellemzi. 
Hasznos tulajdonsága, hogy 18 Gbit/s nagy adatátviteli sebességgel és UltraHD 4K @ 60 fps ellátott.</t>
        </is>
      </c>
    </row>
    <row r="1497">
      <c r="A1497" s="3" t="inlineStr">
        <is>
          <t>A 4X</t>
        </is>
      </c>
      <c r="B1497" s="2" t="inlineStr">
        <is>
          <t>Home A 4X audió kábel, 3 RCA dugó-3 RCA dugó, 1,5 m</t>
        </is>
      </c>
      <c r="C1497" s="1" t="n">
        <v>1190.0</v>
      </c>
      <c r="D1497" s="7" t="n">
        <f>HYPERLINK("https://www.somogyi.hu/product/home-a-4x-audio-kabel-3-rca-dugo-3-rca-dugo-1-5-m-a-4x-5509","https://www.somogyi.hu/product/home-a-4x-audio-kabel-3-rca-dugo-3-rca-dugo-1-5-m-a-4x-5509")</f>
        <v>0.0</v>
      </c>
      <c r="E1497" s="7" t="n">
        <f>HYPERLINK("https://www.somogyi.hu/data/img/product_main_images/small/05509.jpg","https://www.somogyi.hu/data/img/product_main_images/small/05509.jpg")</f>
        <v>0.0</v>
      </c>
      <c r="F1497" s="2" t="inlineStr">
        <is>
          <t>5998312748725</t>
        </is>
      </c>
      <c r="G1497" s="4" t="inlineStr">
        <is>
          <t>Szüksége van egy megbízható kábelre, amellyel kiváló minőségben továbbíthatja a hangot és a videót a készülékei között? A Home audió kábel, 3 RCA dugó – 3 RCA dugó, 1,5 m ideális megoldást kínál sztereó rendszerekhez és otthoni médiaeszközökhöz. Az RCA csatlakozók kiváló jelátvitelt biztosítanak, így garantálva a torzításmentes, tiszta hang- és képminőséget.
Termékjellemzők:
- Csatlakozás típusa: 3 RCA dugó – 3 RCA dugó, amely lehetővé teszi a sztereó hang és a kompozit videó egyszerű továbbítását.
- Kábel hossza: 1,5 méter, így kényelmesen összekötheti a készülékeket, még akkor is, ha távolabb helyezkednek el egymástól.
- Kiváló jelátvitel: Az RCA dugók biztos és stabil csatlakozást nyújtanak, ezáltal csökkentve a jelveszteséget, miközben a maximális minőséget garantálják.
- Sztereó támogatás: A kábel sztereó jelek továbbítására is alkalmas, így tökéletesen használható hangrendszerekhez, erősítőkhöz és televíziókhoz.
- Univerzális kompatibilitás: Alkalmas DVD-lejátszók, tévék, házimozirendszerek, erősítők és egyéb audió/videó eszközök összekapcsolására.
- Kiváló anyagminőség: A masszív kábelborítás és a precíz csatlakozók hosszú élettartamot biztosítanak.
- Kiszerelés: 1 db kábel, bliszteres csomagolásban, amely védi a terméket a szállítás és tárolás során.
Miért válassza ezt az audió kábelt?
Ez az audió kábel tökéletes választás, ha szeretné egyszerűen és hatékonyan csatlakoztatni audió és videó eszközeit anélkül, hogy a minőségben kompromisszumot kellene kötnie. A 3 RCA csatlakozós megoldás különösen hasznos akkor, ha analóg jelátvitelt igényel, legyen szó régebbi típusú tévéről, DVD-lejátszóról vagy sztereó rendszerről. Az 1,5 méteres hossz ideális a legtöbb otthoni elrendezéshez, miközben a stabil jelátvitel tiszta és zavarmentes hang- és képminőséget eredményez.
Frissítse otthoni szórakoztató rendszerét ezzel a megbízható, minőségi audió kábellel, és élvezze a tökéletes hangzást minden alkalommal! Rendelje meg most, és hozza ki a legtöbbet szórakoztató elektronikájából!</t>
        </is>
      </c>
    </row>
    <row r="1498">
      <c r="A1498" s="3" t="inlineStr">
        <is>
          <t>VC 20-2</t>
        </is>
      </c>
      <c r="B1498" s="2" t="inlineStr">
        <is>
          <t>Home VC 20-2 videókábel, 4 pólusú 3,5mm dugó, RCA dugó, 2m</t>
        </is>
      </c>
      <c r="C1498" s="1" t="n">
        <v>1290.0</v>
      </c>
      <c r="D1498" s="7" t="n">
        <f>HYPERLINK("https://www.somogyi.hu/product/home-vc-20-2-videokabel-4-polusu-3-5mm-dugo-rca-dugo-2m-vc-20-2-5241","https://www.somogyi.hu/product/home-vc-20-2-videokabel-4-polusu-3-5mm-dugo-rca-dugo-2m-vc-20-2-5241")</f>
        <v>0.0</v>
      </c>
      <c r="E1498" s="7" t="n">
        <f>HYPERLINK("https://www.somogyi.hu/data/img/product_main_images/small/05241.jpg","https://www.somogyi.hu/data/img/product_main_images/small/05241.jpg")</f>
        <v>0.0</v>
      </c>
      <c r="F1498" s="2" t="inlineStr">
        <is>
          <t>5998312746288</t>
        </is>
      </c>
      <c r="G1498" s="4" t="inlineStr">
        <is>
          <t>Mindene a videókamerázás? Ez esetben csakis a minőségi csatlakozókat keresse a hatékony munkavégzés érdekében!
A VC 20-2 típus 4 pólusú 3,5 mm-es dugóval és 3 db RCA dugóval rendelkezik. (Az RCA dugók színei: piros, fehér, sárga.)
A termék alkalmazható a legtöbb videókamerához, például Sony, Panasonic stb. Hossza: 2 méter.
A 3,5mm átmérőjű dugó bekötése az érintkezők végétől a tövéig haladva: audio bal / video / GND /  audio jobb.</t>
        </is>
      </c>
    </row>
    <row r="1499">
      <c r="A1499" s="3" t="inlineStr">
        <is>
          <t>HD 4K/3</t>
        </is>
      </c>
      <c r="B1499" s="2" t="inlineStr">
        <is>
          <t>Home HD 4K/3 HDMI kábel, V2.0, aranyozott, 4Kx2K felbontás, 18 Gbps, 60fps, 3m</t>
        </is>
      </c>
      <c r="C1499" s="1" t="n">
        <v>3790.0</v>
      </c>
      <c r="D1499" s="7" t="n">
        <f>HYPERLINK("https://www.somogyi.hu/product/home-hd-4k-3-hdmi-kabel-v2-0-aranyozott-4kx2k-felbontas-18-gbps-60fps-3m-hd-4k-3-16441","https://www.somogyi.hu/product/home-hd-4k-3-hdmi-kabel-v2-0-aranyozott-4kx2k-felbontas-18-gbps-60fps-3m-hd-4k-3-16441")</f>
        <v>0.0</v>
      </c>
      <c r="E1499" s="7" t="n">
        <f>HYPERLINK("https://www.somogyi.hu/data/img/product_main_images/small/16441.jpg","https://www.somogyi.hu/data/img/product_main_images/small/16441.jpg")</f>
        <v>0.0</v>
      </c>
      <c r="F1499" s="2" t="inlineStr">
        <is>
          <t>5999084944735</t>
        </is>
      </c>
      <c r="G1499" s="4" t="inlineStr">
        <is>
          <t>A HDMI kábel alkalmas laptopok, asztali PC-k, DVD/Blu-Ray lejátszók, TV-k, játékkonzolok, digitális fényképezőgépek/kamerák, okostelefonokhoz. Ideális HDR és 3D megjelenítéséhez. A 3 m hosszú kábel mindkét végén aranyozott „A” dugó található. V 2.0 verzió és többrétegű árnyékolás jellemzi. 
Hasznos tulajdonsága, hogy 18 Gbit/s nagy adatátviteli sebességgel és UltraHD 4K @ 60 fps ellátott.</t>
        </is>
      </c>
    </row>
    <row r="1500">
      <c r="A1500" s="6" t="inlineStr">
        <is>
          <t xml:space="preserve">   Audio-video kiegészítők / Szerelt audio/koaxiális csatlakozókábel</t>
        </is>
      </c>
      <c r="B1500" s="6" t="inlineStr">
        <is>
          <t/>
        </is>
      </c>
      <c r="C1500" s="6" t="inlineStr">
        <is>
          <t/>
        </is>
      </c>
      <c r="D1500" s="6" t="inlineStr">
        <is>
          <t/>
        </is>
      </c>
      <c r="E1500" s="6" t="inlineStr">
        <is>
          <t/>
        </is>
      </c>
      <c r="F1500" s="6" t="inlineStr">
        <is>
          <t/>
        </is>
      </c>
      <c r="G1500" s="6" t="inlineStr">
        <is>
          <t/>
        </is>
      </c>
    </row>
    <row r="1501">
      <c r="A1501" s="3" t="inlineStr">
        <is>
          <t>RF 10X</t>
        </is>
      </c>
      <c r="B1501" s="2" t="inlineStr">
        <is>
          <t>Home RF 10X koax kábel, dugó-aljzat, 10m, dupla árnyékolás</t>
        </is>
      </c>
      <c r="C1501" s="1" t="n">
        <v>1550.0</v>
      </c>
      <c r="D1501" s="7" t="n">
        <f>HYPERLINK("https://www.somogyi.hu/product/home-rf-10x-koax-kabel-dugo-aljzat-10m-dupla-arnyekolas-rf-10x-2161","https://www.somogyi.hu/product/home-rf-10x-koax-kabel-dugo-aljzat-10m-dupla-arnyekolas-rf-10x-2161")</f>
        <v>0.0</v>
      </c>
      <c r="E1501" s="7" t="n">
        <f>HYPERLINK("https://www.somogyi.hu/data/img/product_main_images/small/02161.jpg","https://www.somogyi.hu/data/img/product_main_images/small/02161.jpg")</f>
        <v>0.0</v>
      </c>
      <c r="F1501" s="2" t="inlineStr">
        <is>
          <t>5998312724255</t>
        </is>
      </c>
      <c r="G1501" s="4" t="inlineStr">
        <is>
          <t>Szüksége van egy megbízható koax kábelre, amely biztosítja a zavartalan jelátvitelt akár nagy távolságban is?
A Home RF 10X koax kábel tökéletes megoldást nyújt televíziók, set-top boxok vagy bármilyen koaxiális csatlakozást igénylő eszköz összekapcsolására, garantálva a stabil és tiszta jeltovábbítást. Az akár 10 méteres hosszúságának köszönhetően kényelmesen áthidalhatja a nagyobb távolságokat is, miközben a dupla árnyékolás megakadályozza a külső elektromágneses interferenciát, ezáltal biztosítva a kiváló jelminőséget.
Főbb jellemzők:
- Csatlakozók: Koax dugó – koax aljzat csatlakozókkal ellátva, amelyek egyszerű és gyors csatlakoztatást tesznek lehetővé bármilyen kompatibilis eszközhöz
- Kábelhossz: A 10 méteres kábel lehetővé teszi, hogy akár távoli eszközöket is gond nélkül összekapcsoljon, anélkül, hogy jelveszteség lépne fel
- Dupla árnyékolás: A kettős árnyékolás megvédi a jelet a zavaró külső hatásoktól, így a kép és hang minősége mindig tiszta és zavartalan marad
- Tartós kialakítás: A fehér burkolattal ellátott kábel esztétikus és strapabíró, így hosszú távú használatra is ideális megoldás
- Csomagolás: Bliszteres kiszerelésben kapható, amely védi a kábelt a sérülésektől a szállítás és tárolás során
Miért érdemes a Home RF 10X koax kábelt választani?
Ez a kábel ideális választás mindazok számára, akik kiváló jelátvitelt keresnek megfizethető áron. A 10 méteres hosszúság lehetővé teszi, hogy könnyedén összekapcsoljon távoli eszközöket, a dupla árnyékolás pedig biztosítja, hogy a külső zavaró jelek ne befolyásolják az átvitelt. Legyen szó televíziózásról, internetkapcsolatról vagy más koaxiális alkalmazásról, ez a kábel garantáltan megfelel az elvárásoknak.
Fedezze fel, hogyan teheti kényelmesebbé és hatékonyabbá otthoni vagy irodai csatlakoztatási megoldásait ezzel a minőségi koax kábellel!</t>
        </is>
      </c>
    </row>
    <row r="1502">
      <c r="A1502" s="3" t="inlineStr">
        <is>
          <t>A 51-5</t>
        </is>
      </c>
      <c r="B1502" s="2" t="inlineStr">
        <is>
          <t>Home A 51-5 audiókábel, 3,5mm sztereó dugó, két oldalú, 5m</t>
        </is>
      </c>
      <c r="C1502" s="1" t="n">
        <v>1450.0</v>
      </c>
      <c r="D1502" s="7" t="n">
        <f>HYPERLINK("https://www.somogyi.hu/product/home-a-51-5-audiokabel-3-5mm-sztereo-dugo-ket-oldalu-5m-a-51-5-5014","https://www.somogyi.hu/product/home-a-51-5-audiokabel-3-5mm-sztereo-dugo-ket-oldalu-5m-a-51-5-5014")</f>
        <v>0.0</v>
      </c>
      <c r="E1502" s="7" t="n">
        <f>HYPERLINK("https://www.somogyi.hu/data/img/product_main_images/small/05014.jpg","https://www.somogyi.hu/data/img/product_main_images/small/05014.jpg")</f>
        <v>0.0</v>
      </c>
      <c r="F1502" s="2" t="inlineStr">
        <is>
          <t>5998312744369</t>
        </is>
      </c>
      <c r="G1502" s="4" t="inlineStr">
        <is>
          <t>Hosszabb audiókábelre van szüksége, amely stabil és tiszta hangátvitelt biztosít? A Home A 51-5 audiókábel tökéletes választás, ha nagyobb távolságban szeretné összekötni készülékeit, anélkül hogy a minőség csorbulna. 
A két ∅3,5 mm-es sztereó dugó univerzális kompatibilitást kínál, így ideális megoldás telefonok, laptopok, hangszórók vagy bármely sztereó jack csatlakozós eszköz csatlakoztatásához.
A kábel 5 méteres hossza lehetőséget biztosít arra, hogy kényelmesen elrendezze készülékeit a szobában vagy akár egy nagyobb rendezvényen, miközben a hangminőség továbbra is zavartalan és torzításmentes marad. A gondosan kialakított csatlakozók és a tartós kábelkialakítás biztosítja, hogy a kapcsolat mindig stabil és megbízható legyen, függetlenül attól, hogy milyen környezetben használja.
Ne hagyja, hogy a kábel hossza akadályozza zenei élményeit! Válassza a Home A 51-5 audiókábelt, és élvezze a professzionális hangzást otthon, irodában vagy bármilyen rendezvényen!</t>
        </is>
      </c>
    </row>
    <row r="1503">
      <c r="A1503" s="3" t="inlineStr">
        <is>
          <t>A 3</t>
        </is>
      </c>
      <c r="B1503" s="2" t="inlineStr">
        <is>
          <t>Home A3 audiókábel, RCA, 1,5m</t>
        </is>
      </c>
      <c r="C1503" s="1" t="n">
        <v>679.0</v>
      </c>
      <c r="D1503" s="7" t="n">
        <f>HYPERLINK("https://www.somogyi.hu/product/home-a3-audiokabel-rca-1-5m-a-3-1675","https://www.somogyi.hu/product/home-a3-audiokabel-rca-1-5m-a-3-1675")</f>
        <v>0.0</v>
      </c>
      <c r="E1503" s="7" t="n">
        <f>HYPERLINK("https://www.somogyi.hu/data/img/product_main_images/small/01675.jpg","https://www.somogyi.hu/data/img/product_main_images/small/01675.jpg")</f>
        <v>0.0</v>
      </c>
      <c r="F1503" s="2" t="inlineStr">
        <is>
          <t>5998312700327</t>
        </is>
      </c>
      <c r="G1503" s="4" t="inlineStr">
        <is>
          <t>Szüksége van egy megbízható megoldásra a kristálytiszta hangátvitelhez? A Home A3 audiókábel ideális választás, ha kiváló minőségű hangátvitelt szeretne elérni otthoni audiorendszerében vagy más készülékeiben. 
A 2x RCA dugó – 2x RCA dugó kialakításnak köszönhetően egyszerűen csatlakoztatható bármilyen kompatibilis eszközhöz, például erősítőhöz, CD-lejátszóhoz vagy televízióhoz. A 1,5 méter hosszú kábel elég rugalmasságot biztosít a kényelmes elrendezéshez, anélkül hogy a jelminőség csökkenne. A gondosan megtervezett konstrukció stabil kapcsolatot és tiszta hangzást garantál, legyen szó zenehallgatásról, filmnézésről vagy játékokról.
Válassza a Home A3 audiókábelt, hogy otthoni szórakoztató rendszerét új szintre emelje, és élvezze a zavartalan, magas minőségű hangélményt!</t>
        </is>
      </c>
    </row>
    <row r="1504">
      <c r="A1504" s="3" t="inlineStr">
        <is>
          <t>RF 10</t>
        </is>
      </c>
      <c r="B1504" s="2" t="inlineStr">
        <is>
          <t>Home RF 10 koax kábel, dugó-aljzat, dupla árnyékolás, 10m, fehér</t>
        </is>
      </c>
      <c r="C1504" s="1" t="n">
        <v>1390.0</v>
      </c>
      <c r="D1504" s="7" t="n">
        <f>HYPERLINK("https://www.somogyi.hu/product/home-rf-10-koax-kabel-dugo-aljzat-dupla-arnyekolas-10m-feher-rf-10-1817","https://www.somogyi.hu/product/home-rf-10-koax-kabel-dugo-aljzat-dupla-arnyekolas-10m-feher-rf-10-1817")</f>
        <v>0.0</v>
      </c>
      <c r="E1504" s="7" t="n">
        <f>HYPERLINK("https://www.somogyi.hu/data/img/product_main_images/small/01817.jpg","https://www.somogyi.hu/data/img/product_main_images/small/01817.jpg")</f>
        <v>0.0</v>
      </c>
      <c r="F1504" s="2" t="inlineStr">
        <is>
          <t>5998312703380</t>
        </is>
      </c>
      <c r="G1504" s="4" t="inlineStr">
        <is>
          <t>Dupla árnyékolást biztosító koax dugó és koax aljzat. A masszív kialakítású RF 10 fehér színben 10 méteres hosszban kapható. Válassza a minőségi termékeket és rendeljen webáruházunkból.</t>
        </is>
      </c>
    </row>
    <row r="1505">
      <c r="A1505" s="3" t="inlineStr">
        <is>
          <t>A 3X</t>
        </is>
      </c>
      <c r="B1505" s="2" t="inlineStr">
        <is>
          <t>Home A 3X audió kábel bliszteres csomagolásban, 2 RCA dugó-2 RCA dugó, 1,5 m</t>
        </is>
      </c>
      <c r="C1505" s="1" t="n">
        <v>799.0</v>
      </c>
      <c r="D1505" s="7" t="n">
        <f>HYPERLINK("https://www.somogyi.hu/product/home-a-3x-audio-kabel-bliszteres-csomagolasban-2-rca-dugo-2-rca-dugo-1-5-m-a-3x-2145","https://www.somogyi.hu/product/home-a-3x-audio-kabel-bliszteres-csomagolasban-2-rca-dugo-2-rca-dugo-1-5-m-a-3x-2145")</f>
        <v>0.0</v>
      </c>
      <c r="E1505" s="7" t="n">
        <f>HYPERLINK("https://www.somogyi.hu/data/img/product_main_images/small/02145.jpg","https://www.somogyi.hu/data/img/product_main_images/small/02145.jpg")</f>
        <v>0.0</v>
      </c>
      <c r="F1505" s="2" t="inlineStr">
        <is>
          <t>5998312724088</t>
        </is>
      </c>
      <c r="G1505" s="4" t="inlineStr">
        <is>
          <t>Hogyan biztosíthatja a tiszta és zavartalan hangátvitelt eszközei között? A Home A 3X audiókábel ideális megoldás, ha kiváló minőségű hangkapcsolatra van szüksége audiorendszerei, erősítői vagy egyéb RCA csatlakozóval rendelkező készülékei között. 
A 2x RCA dugó – 2x RCA dugó kialakítás garantálja a megbízható, stabil hangátvitelt, minimalizálva a jelvesztést. A 1,5 méteres kábelhossz elegendő rugalmasságot biztosít, hogy kényelmesen elhelyezhesse eszközeit anélkül, hogy a kábelek összegabalyodnának. A termék bliszteres csomagolásban érkezik, amely védi a kábelt és segíti a könnyű tárolást.
Válassza a Home A 3X audiókábelt, és élvezze a kristálytiszta hangot minden zenei és szórakoztató élmény során!</t>
        </is>
      </c>
    </row>
    <row r="1506">
      <c r="A1506" s="3" t="inlineStr">
        <is>
          <t>RF 1X</t>
        </is>
      </c>
      <c r="B1506" s="2" t="inlineStr">
        <is>
          <t>Home RF 1X koax kábel, dugó-aljzat, 1,5m, fehér színű</t>
        </is>
      </c>
      <c r="C1506" s="1" t="n">
        <v>559.0</v>
      </c>
      <c r="D1506" s="7" t="n">
        <f>HYPERLINK("https://www.somogyi.hu/product/home-rf-1x-koax-kabel-dugo-aljzat-1-5m-feher-szinu-rf-1x-2158","https://www.somogyi.hu/product/home-rf-1x-koax-kabel-dugo-aljzat-1-5m-feher-szinu-rf-1x-2158")</f>
        <v>0.0</v>
      </c>
      <c r="E1506" s="7" t="n">
        <f>HYPERLINK("https://www.somogyi.hu/data/img/product_main_images/small/02158.jpg","https://www.somogyi.hu/data/img/product_main_images/small/02158.jpg")</f>
        <v>0.0</v>
      </c>
      <c r="F1506" s="2" t="inlineStr">
        <is>
          <t>5998312724217</t>
        </is>
      </c>
      <c r="G1506" s="4" t="inlineStr">
        <is>
          <t>Szüksége van egy rövid, de megbízható koax kábelre, amely biztosítja a zavartalan jelátvitelt a közeli eszközök között?
A Home RF 1X koax kábel ideális választás televíziók, set-top boxok vagy más koaxiális csatlakozást igénylő eszközök összekötésére, ahol nincs szükség hosszú vezetékre, de a jelminőség kiemelten fontos. A 1,5 méteres kábelhossz biztosítja, hogy a közel elhelyezett eszközök kényelmesen csatlakoztathatók legyenek, miközben a kiváló minőségű anyagok garantálják a tartós használatot.
Főbb jellemzők:
- Csatlakozók: Koax dugó – koax aljzat, amelyek egyszerűvé és gyorssá teszik a csatlakoztatást bármilyen kompatibilis eszközhöz
- Kábelhossz: 1,5 méteres hosszúság, amely ideális a rövid távolságú csatlakozásokhoz, minimalizálva a jelveszteség esélyét
- Tartós kialakítás: A fehér színű burkolat esztétikus megjelenést kölcsönöz a kábelnek, miközben megvédi a belső vezetéket a külső sérülésektől
- Bliszteres kiszerelés: Praktikus csomagolás, amely megvédi a kábelt a sérülésektől a szállítás és tárolás során
Miért válassza a Home RF 1X koax kábelt?
Ez a kábel ideális megoldás azok számára, akik rövid távolságra szeretnének kiváló minőségű jelátvitelt elérni. Legyen szó televíziók vagy egyéb eszközök csatlakoztatásáról, a Home RF 1X koax kábel megbízható teljesítményt nyújt. A kiváló csatlakozók és a strapabíró burkolat biztosítja, hogy hosszú távon is elégedett legyen a használatával.
Válassza ezt a minőségi koax kábelt, és élvezze a zavartalan jelátvitelt egyszerű csatlakoztatással!</t>
        </is>
      </c>
    </row>
    <row r="1507">
      <c r="A1507" s="3" t="inlineStr">
        <is>
          <t>RF 5</t>
        </is>
      </c>
      <c r="B1507" s="2" t="inlineStr">
        <is>
          <t>Home RF 5 koax kábel, dugó-aljzat, dupla árnyékolás, 5m, fehér</t>
        </is>
      </c>
      <c r="C1507" s="1" t="n">
        <v>829.0</v>
      </c>
      <c r="D1507" s="7" t="n">
        <f>HYPERLINK("https://www.somogyi.hu/product/home-rf-5-koax-kabel-dugo-aljzat-dupla-arnyekolas-5m-feher-rf-5-1819","https://www.somogyi.hu/product/home-rf-5-koax-kabel-dugo-aljzat-dupla-arnyekolas-5m-feher-rf-5-1819")</f>
        <v>0.0</v>
      </c>
      <c r="E1507" s="7" t="n">
        <f>HYPERLINK("https://www.somogyi.hu/data/img/product_main_images/small/01819.jpg","https://www.somogyi.hu/data/img/product_main_images/small/01819.jpg")</f>
        <v>0.0</v>
      </c>
      <c r="F1507" s="2" t="inlineStr">
        <is>
          <t>5998312703403</t>
        </is>
      </c>
      <c r="G1507" s="4" t="inlineStr">
        <is>
          <t>Dupla árnyékolást biztosító koax dugó és koax aljzat. A masszív kialakítású RF 5 fehér színben 5 méteres hosszban kapható. Válassza a minőségi termékeket és rendeljen webáruházunkból.</t>
        </is>
      </c>
    </row>
    <row r="1508">
      <c r="A1508" s="3" t="inlineStr">
        <is>
          <t>A 49-5</t>
        </is>
      </c>
      <c r="B1508" s="2" t="inlineStr">
        <is>
          <t>Home A 49-5 audiókábel, 3,5mm sztereó dugó, RCA, 5m</t>
        </is>
      </c>
      <c r="C1508" s="1" t="n">
        <v>959.0</v>
      </c>
      <c r="D1508" s="7" t="n">
        <f>HYPERLINK("https://www.somogyi.hu/product/home-a-49-5-audiokabel-3-5mm-sztereo-dugo-rca-5m-a-49-5-4805","https://www.somogyi.hu/product/home-a-49-5-audiokabel-3-5mm-sztereo-dugo-rca-5m-a-49-5-4805")</f>
        <v>0.0</v>
      </c>
      <c r="E1508" s="7" t="n">
        <f>HYPERLINK("https://www.somogyi.hu/data/img/product_main_images/small/04805.jpg","https://www.somogyi.hu/data/img/product_main_images/small/04805.jpg")</f>
        <v>0.0</v>
      </c>
      <c r="F1508" s="2" t="inlineStr">
        <is>
          <t>5998312742471</t>
        </is>
      </c>
      <c r="G1508" s="4" t="inlineStr">
        <is>
          <t>Hosszabb audiókábelre van szüksége, amely kompromisszum nélkül biztosítja a kiváló hangminőséget? A Home A 49-5 audiókábel a tökéletes választás, ha megbízható kapcsolatot keres különböző eszközei között, akár otthoni, akár hordozható használatra. 
A 3,5 mm-es sztereó dugó és a 2 x RCA dugó segítségével könnyedén csatlakoztathatja okostelefonját, laptopját vagy hangrendszerét, biztosítva a stabil, tiszta és torzításmentes hangátvitelt.
A kábel 5 méteres hossza elegendő szabadságot nyújt, hogy kényelmesen elrendezze eszközeit anélkül, hogy a kábel rövidsége korlátozná. Ez különösen hasznos lehet nagyobb helyiségekben vagy több berendezés csatlakoztatásakor. A csatlakozók és a minőségi kivitelezés hosszú élettartamot és megbízható teljesítményt biztosítanak minden alkalommal, amikor használja.
Ne hagyja, hogy a kábel hossza korlátozza zenei élményeit! Válassza a Home A 49-5 audiókábelt, és fedezze fel, hogyan hozhatja ki a legtöbbet audioeszközeiből, akár otthon, akár útközben!</t>
        </is>
      </c>
    </row>
    <row r="1509">
      <c r="A1509" s="3" t="inlineStr">
        <is>
          <t>A 49</t>
        </is>
      </c>
      <c r="B1509" s="2" t="inlineStr">
        <is>
          <t>Home A 49 audiókábel, 3,5mm dugó, RCA, 1,5m</t>
        </is>
      </c>
      <c r="C1509" s="1" t="n">
        <v>649.0</v>
      </c>
      <c r="D1509" s="7" t="n">
        <f>HYPERLINK("https://www.somogyi.hu/product/home-a-49-audiokabel-3-5mm-dugo-rca-1-5m-a-49-1681","https://www.somogyi.hu/product/home-a-49-audiokabel-3-5mm-dugo-rca-1-5m-a-49-1681")</f>
        <v>0.0</v>
      </c>
      <c r="E1509" s="7" t="n">
        <f>HYPERLINK("https://www.somogyi.hu/data/img/product_main_images/small/01681.jpg","https://www.somogyi.hu/data/img/product_main_images/small/01681.jpg")</f>
        <v>0.0</v>
      </c>
      <c r="F1509" s="2" t="inlineStr">
        <is>
          <t>5998312700396</t>
        </is>
      </c>
      <c r="G1509" s="4" t="inlineStr">
        <is>
          <t>Egy megbízható audiókábelt keres, amellyel tökéletes hangminőséget érhet el? A Home A 49 audiókábel ideális megoldás mindazoknak, akik stabil és kiváló minőségű kapcsolatot szeretnének létrehozni különböző eszközeik között. 
A 3,5 mm-es sztereó dugó és a 2 x RCA dugó biztosítja a sokoldalú felhasználhatóságot, így zökkenőmentesen csatlakoztathatja például okostelefonját, laptopját vagy lejátszóját erősítőhöz, hangrendszerhez. A 1,5 méteres hosszúság kényelmes távolságot nyújt, amely ideális otthoni, irodai, vagy akár szórakozóhelyi környezetben is. A precíz kialakításnak köszönhetően a kábel tartós és könnyen használható, biztosítva a tiszta, torzításmentes hangátvitelt. Tökéletes választás zenei élményei javításához, legyen szó moziszerű házimozi élményről, vagy csupán a kedvenc lejátszási listáiról.
Ne elégedjen meg a gyenge minőségű kábelekkel! Válassza a Home A 49 audiókábelt, és tapasztalja meg a kristálytiszta hangzás élményét minden eszközén!</t>
        </is>
      </c>
    </row>
    <row r="1510">
      <c r="A1510" s="3" t="inlineStr">
        <is>
          <t>A 51</t>
        </is>
      </c>
      <c r="B1510" s="2" t="inlineStr">
        <is>
          <t>Home A 51 audiókábel, 3,5mm sztereó dugó, két oldalú, 1,5m</t>
        </is>
      </c>
      <c r="C1510" s="1" t="n">
        <v>729.0</v>
      </c>
      <c r="D1510" s="7" t="n">
        <f>HYPERLINK("https://www.somogyi.hu/product/home-a-51-audiokabel-3-5mm-sztereo-dugo-ket-oldalu-1-5m-a-51-1682","https://www.somogyi.hu/product/home-a-51-audiokabel-3-5mm-sztereo-dugo-ket-oldalu-1-5m-a-51-1682")</f>
        <v>0.0</v>
      </c>
      <c r="E1510" s="7" t="n">
        <f>HYPERLINK("https://www.somogyi.hu/data/img/product_main_images/small/01682.jpg","https://www.somogyi.hu/data/img/product_main_images/small/01682.jpg")</f>
        <v>0.0</v>
      </c>
      <c r="F1510" s="2" t="inlineStr">
        <is>
          <t>5998312700402</t>
        </is>
      </c>
      <c r="G1510" s="4" t="inlineStr">
        <is>
          <t>Szüksége van egy megbízható kábelre, amely biztosítja a kiváló hangminőséget eszközei között? A Home A 51 audiókábel tökéletes választás, ha első osztályú csatlakozást keres két 3,5 mm-es sztereó dugóval rendelkező eszköz között, legyen szó telefonról, laptopról vagy hangszóróról. 
Az 1,5 méteres hosszúság elegendő mozgásteret biztosít anélkül, hogy túl sok helyet foglalna, így ideális választás mind otthoni, mind hordozható felhasználáshoz. A 3,5 mm-es sztereó dugó – 3,5 mm-es sztereó dugó kialakítás univerzális kompatibilitást nyújt, amely zökkenőmentes csatlakozást tesz lehetővé a legtöbb audióeszközzel. A kábel gondosan megtervezett, hogy biztosítsa a zajmentes, tiszta hangátvitelt, így minden zene, podcast vagy film tökéletes minőségben szólal meg.
Válassza a Home A 51 audiókábelt, és élvezze a kristálytiszta hangzást bármilyen környezetben!</t>
        </is>
      </c>
    </row>
    <row r="1511">
      <c r="A1511" s="3" t="inlineStr">
        <is>
          <t>A 51X</t>
        </is>
      </c>
      <c r="B1511" s="2" t="inlineStr">
        <is>
          <t>Home A 51X audió kábel, 3,5 mm sztereó dugó-3,5 mm sztereó dugó, 1,5 m</t>
        </is>
      </c>
      <c r="C1511" s="1" t="n">
        <v>859.0</v>
      </c>
      <c r="D1511" s="7" t="n">
        <f>HYPERLINK("https://www.somogyi.hu/product/home-a-51x-audio-kabel-3-5-mm-sztereo-dugo-3-5-mm-sztereo-dugo-1-5-m-a-51x-2153","https://www.somogyi.hu/product/home-a-51x-audio-kabel-3-5-mm-sztereo-dugo-3-5-mm-sztereo-dugo-1-5-m-a-51x-2153")</f>
        <v>0.0</v>
      </c>
      <c r="E1511" s="7" t="n">
        <f>HYPERLINK("https://www.somogyi.hu/data/img/product_main_images/small/02153.jpg","https://www.somogyi.hu/data/img/product_main_images/small/02153.jpg")</f>
        <v>0.0</v>
      </c>
      <c r="F1511" s="2" t="inlineStr">
        <is>
          <t>5998312724163</t>
        </is>
      </c>
      <c r="G1511" s="4" t="inlineStr">
        <is>
          <t>Egy megbízható, kiváló minőségű audió kábelt keres, amellyel zökkenőmentesen csatlakoztathatja eszközeit? A Home A 51X audió kábel ideális választás fejhallgatók, hangszórók, autórádiók vagy bármilyen sztereó eszköz csatlakoztatására. Az 1,5 méteres hosszúság kényelmes használatot biztosít, akár otthon, akár útközben használja.
Kiemelt tulajdonságok:
- Csatlakozó típusa: Mindkét végén 3,5 mm-es sztereó dugó található, amely biztosítja a széles körű kompatibilitást a legtöbb audió eszközzel, beleértve okostelefonokat, táblagépeket, laptopokat, autórádiókat és hordozható hangszórókat.
- Kábelhossz: 1,5 méteres hosszúságának köszönhetően elegendő mozgásteret nyújt a kényelmes csatlakoztatáshoz, legyen szó zenehallgatásról otthon vagy az autóban.
- Magas minőségű jelátvitel: A precízen megmunkált sztereó dugók és a kiváló minőségű vezeték biztosítják a tiszta, torzításmentes hangátvitelt, így élvezheti a kedvenc zenéit vagy podcastjait kompromisszumok nélkül.
- Masszív felépítés: Tartós burkolattal és strapabíró csatlakozókkal van ellátva, amelyek hosszú élettartamot garantálnak. Ideális mindennapi használatra és gyakori csatlakoztatásra.
- Bliszteres csomagolás: A kábel bliszteres csomagolásban érkezik, amely megvédi a sérülésektől a szállítás és tárolás során.
- 
Miért válassza a Home A 51X audió kábelt?
Ez a kábel a tökéletes megoldás, ha kristálytiszta hangminőségre vágyik anélkül, hogy aggódnia kellene a jelvesztés miatt. Az univerzális 3,5 mm-es csatlakozók lehetővé teszik a gyors és egyszerű csatlakoztatást különböző audió eszközökhöz. Ideális választás zenehallgatáshoz, filmnézéshez, valamint autóban történő használatra is.
Legyen szó otthoni szórakoztatásról vagy útközbeni zenehallgatásról, a Home A 51X audió kábel minden helyzetben megállja a helyét. Ne hagyja ki ezt a minőségi és megbízható kiegészítőt – rendelje meg még ma, és élvezze a zavartalan hangélményt bárhol, bármikor!</t>
        </is>
      </c>
    </row>
    <row r="1512">
      <c r="A1512" s="3" t="inlineStr">
        <is>
          <t>AC 16M</t>
        </is>
      </c>
      <c r="B1512" s="2" t="inlineStr">
        <is>
          <t>Home AC 16M audió átalakító kábel, elosztó, 3,5mm sztereó dugó, 2 aljzat, 15cm</t>
        </is>
      </c>
      <c r="C1512" s="1" t="n">
        <v>1890.0</v>
      </c>
      <c r="D1512" s="7" t="n">
        <f>HYPERLINK("https://www.somogyi.hu/product/home-ac-16m-audio-atalakito-kabel-eloszto-3-5mm-sztereo-dugo-2-aljzat-15cm-ac-16m-14288","https://www.somogyi.hu/product/home-ac-16m-audio-atalakito-kabel-eloszto-3-5mm-sztereo-dugo-2-aljzat-15cm-ac-16m-14288")</f>
        <v>0.0</v>
      </c>
      <c r="E1512" s="7" t="n">
        <f>HYPERLINK("https://www.somogyi.hu/data/img/product_main_images/small/14288.jpg","https://www.somogyi.hu/data/img/product_main_images/small/14288.jpg")</f>
        <v>0.0</v>
      </c>
      <c r="F1512" s="2" t="inlineStr">
        <is>
          <t>5999084923365</t>
        </is>
      </c>
      <c r="G1512" s="4" t="inlineStr">
        <is>
          <t>Gondolkodott már azon, hogyan biztosíthatná a legjobb hangminőséget, miközben több eszközt is csatlakoztat? A Home AC 16M audió átalakító kábel nemcsak praktikus megoldást nyújt, de prémium minőségével kiemelkedik a piacon.
Ez az első osztályú kábel aranyozott csatlakozókkal rendelkezik, amelyek biztosítják a kiváló, zajmentes hangátvitelt, így nem kell aggódnia a zavaró interferenciák miatt. Az alumínium burkolat tartósságot és védelmet nyújt a mindennapi használat során, miközben az egyedi formatervezés garantálja a stílusos megjelenést. A ∅3,5 mm-es sztereó dugó és a 2 x ∅3,5 mm-es sztereó aljzat révén a kábel tökéletes választás bármilyen hordozható készülékhez, mint például okostelefonok, tabletek vagy fülhallgatók. A 15 cm-es kábelhossz ideális kompromisszum a könnyű hordozhatóság és a kényelmes használat között.
Ne maradjon le erről a kivételes lehetőségről – válassza a Home AC 16M kábelünket, és tapasztalja meg a prémium minőséget minden egyes hangban!</t>
        </is>
      </c>
    </row>
    <row r="1513">
      <c r="A1513" s="3" t="inlineStr">
        <is>
          <t>OPK 2/1,5</t>
        </is>
      </c>
      <c r="B1513" s="2" t="inlineStr">
        <is>
          <t>Home OPK 2/1,5 optikai kábel, 2 Toslink dugó, porvédő sapka, 1,5m</t>
        </is>
      </c>
      <c r="C1513" s="1" t="n">
        <v>1790.0</v>
      </c>
      <c r="D1513" s="7" t="n">
        <f>HYPERLINK("https://www.somogyi.hu/product/home-opk-2-1-5-optikai-kabel-2-toslink-dugo-porvedo-sapka-1-5m-opk-2-1-5-2708","https://www.somogyi.hu/product/home-opk-2-1-5-optikai-kabel-2-toslink-dugo-porvedo-sapka-1-5m-opk-2-1-5-2708")</f>
        <v>0.0</v>
      </c>
      <c r="E1513" s="7" t="n">
        <f>HYPERLINK("https://www.somogyi.hu/data/img/product_main_images/small/02708.jpg","https://www.somogyi.hu/data/img/product_main_images/small/02708.jpg")</f>
        <v>0.0</v>
      </c>
      <c r="F1513" s="2" t="inlineStr">
        <is>
          <t>5998312730324</t>
        </is>
      </c>
      <c r="G1513" s="4" t="inlineStr">
        <is>
          <t>Keresse a praktikus kialakítással rendelkező Toslink dugókat!
Az OPK 2/1,5 Toslink dugó előnye, hogy hosszú távon is kiváló adatátvitelt biztosít. A dugó mérete: ∅2,2 mm. A kábel hossza: 1,5 méter. Válassza a minőségi termékeket és rendeljen webáruházunkból.</t>
        </is>
      </c>
    </row>
    <row r="1514">
      <c r="A1514" s="3" t="inlineStr">
        <is>
          <t>A 54-5</t>
        </is>
      </c>
      <c r="B1514" s="2" t="inlineStr">
        <is>
          <t>Home A 54-5 audiókábel, 3,5mm sztereó dugó, 3,5mm sztereó aljzat, 5m</t>
        </is>
      </c>
      <c r="C1514" s="1" t="n">
        <v>1390.0</v>
      </c>
      <c r="D1514" s="7" t="n">
        <f>HYPERLINK("https://www.somogyi.hu/product/home-a-54-5-audiokabel-3-5mm-sztereo-dugo-3-5mm-sztereo-aljzat-5m-a-54-5-1965","https://www.somogyi.hu/product/home-a-54-5-audiokabel-3-5mm-sztereo-dugo-3-5mm-sztereo-aljzat-5m-a-54-5-1965")</f>
        <v>0.0</v>
      </c>
      <c r="E1514" s="7" t="n">
        <f>HYPERLINK("https://www.somogyi.hu/data/img/product_main_images/small/01965.jpg","https://www.somogyi.hu/data/img/product_main_images/small/01965.jpg")</f>
        <v>0.0</v>
      </c>
      <c r="F1514" s="2" t="inlineStr">
        <is>
          <t>5998312706886</t>
        </is>
      </c>
      <c r="G1514" s="4" t="inlineStr">
        <is>
          <t>Szeretne egy hosszabbító audiókábel, amely biztosítja a kiváló hangminőséget nagyobb távolságban is? A Home A 54-5 audiókábel tökéletes választás, ha megbízható, stabil és első osztályú csatlakozást szeretne eszközei között. 
A ∅3,5 mm sztereó dugó és a ∅3,5 mm sztereó aljzat segítségével egyszerűen meghosszabbíthatja fejhallgatója vagy más audióeszköze kábelét, anélkül, hogy a hangminőség romlana.
Az 5 méteres kábelhossz lehetőséget biztosít arra, hogy kényelmesen elérje a távolabb elhelyezett készülékeket is, legyen szó otthoni szórakoztató rendszerről vagy stúdiómunkáról. A csatlakozók és a jó minőségű vezeték biztosítják a tiszta, zajmentes hangátvitelt, így garantált a professzionális hangélmény. A kiváló minőségű burkolat nemcsak stílusos, de tartóssá is teszi a kábelt, ellenállva a mindennapi használat során fellépő sérüléseknek.
Ne hagyja, hogy a kábel hossza korlátozza zenei élményeit! Válassza a Home A 54-5 audiókábelt, és élvezze a prémium minőségű hangzást nagyobb távolságokban is!</t>
        </is>
      </c>
    </row>
    <row r="1515">
      <c r="A1515" s="3" t="inlineStr">
        <is>
          <t>51225</t>
        </is>
      </c>
      <c r="B1515" s="2" t="inlineStr">
        <is>
          <t>Home 51225 Toslink-Mini Toslink csatlakozókábel, optikai kábel, 2 méter</t>
        </is>
      </c>
      <c r="C1515" s="1" t="n">
        <v>2290.0</v>
      </c>
      <c r="D1515" s="7" t="n">
        <f>HYPERLINK("https://www.somogyi.hu/product/home-51225-toslink-mini-toslink-csatlakozokabel-optikai-kabel-2-meter-51225-18919","https://www.somogyi.hu/product/home-51225-toslink-mini-toslink-csatlakozokabel-optikai-kabel-2-meter-51225-18919")</f>
        <v>0.0</v>
      </c>
      <c r="E1515" s="7" t="n">
        <f>HYPERLINK("https://www.somogyi.hu/data/img/product_main_images/small/18919.jpg","https://www.somogyi.hu/data/img/product_main_images/small/18919.jpg")</f>
        <v>0.0</v>
      </c>
      <c r="F1515" s="2" t="inlineStr">
        <is>
          <t>5999084969134</t>
        </is>
      </c>
      <c r="G1515" s="4" t="inlineStr">
        <is>
          <t>Szeretné elérni a legmagasabb hangminőséget zenehallgatás vagy filmnézés közben? A Home 51225 Toslink-Mini Toslink csatlakozókábel tökéletes választás az audioeszközök összekapcsolásához. 
Ez az optikai kábel kiváló minőségű Toslink dugóval és 3.5mm Mini Toslink dugóval rendelkezik, biztosítva a kristálytiszta és zavarmentes hangátvitelt. A 2.2mm átmérőjű kábel körülbelül 2 méter hosszúságú, így kényelmesen eléri a kívánt eszközöket, miközben minimalizálja a kábelek okozta rendetlenséget.
Ez az optikai kábel nemcsak a hangminőséget javítja, hanem a csatlakozás stabilitását is biztosítja, elkerülve a hagyományos analóg kábelek által okozott interferenciákat. Kiváló minőségű anyagokból készült, így hosszú élettartamot és megbízható teljesítményt nyújt.
Ne hagyja ki ezt a lehetőséget, hogy kedvenc zenéi és filmjei a legjobb minőségben szólaljanak meg! Vásárolja meg a Home 51225 Toslink-Mini Toslink csatlakozókábelt most, és tapasztalja meg a különbséget!</t>
        </is>
      </c>
    </row>
    <row r="1516">
      <c r="A1516" s="3" t="inlineStr">
        <is>
          <t>A 49-1M</t>
        </is>
      </c>
      <c r="B1516" s="2" t="inlineStr">
        <is>
          <t>Home A 49-1M audiókábel, 3,5mm sztereó dugó, RCA, 1m</t>
        </is>
      </c>
      <c r="C1516" s="1" t="n">
        <v>2190.0</v>
      </c>
      <c r="D1516" s="7" t="n">
        <f>HYPERLINK("https://www.somogyi.hu/product/home-a-49-1m-audiokabel-3-5mm-sztereo-dugo-rca-1m-a-49-1m-14287","https://www.somogyi.hu/product/home-a-49-1m-audiokabel-3-5mm-sztereo-dugo-rca-1m-a-49-1m-14287")</f>
        <v>0.0</v>
      </c>
      <c r="E1516" s="7" t="n">
        <f>HYPERLINK("https://www.somogyi.hu/data/img/product_main_images/small/14287.jpg","https://www.somogyi.hu/data/img/product_main_images/small/14287.jpg")</f>
        <v>0.0</v>
      </c>
      <c r="F1516" s="2" t="inlineStr">
        <is>
          <t>5999084923358</t>
        </is>
      </c>
      <c r="G1516" s="4" t="inlineStr">
        <is>
          <t>Szeretné a lehető legjobb hangminőséget elérni eszközein, legyen szó otthoni rendszerről vagy hordozható készülékekről? A Home A 49-1M audiókábel kiváló választás mindazok számára, akik első osztályú minőségre és megbízhatóságra vágynak. 
A HI-FI hangminőségű vezeték és az aranyozott csatlakozók garantálják a tiszta, zajmentes kapcsolatot, amely minden zenét, filmet vagy játékot új szintre emel. A 3,5 mm-es sztereó dugó és a 2 x RCA dugó sokoldalú csatlakozási lehetőségeket kínál, így a kábel ideális választás különböző készülékek összekötéséhez, legyen szó otthoni szórakoztató rendszerekről vagy hordozható lejátszókról. Az alumínium burkolat nemcsak elegáns megjelenést biztosít, hanem hosszú élettartamot is, hiszen ellenáll a külső sérüléseknek és a kopásnak. A kábel hossza 1 méter, amely ideális távolságot nyújt a legtöbb otthoni vagy irodai elrendezéshez.
Ne érje be kevesebbel, mint a prémium hangélmény! Szerezze be most a Home A 49-1M audiókábelt, és fedezze fel, hogyan kel életre a zene minden részlete az eszközein!</t>
        </is>
      </c>
    </row>
    <row r="1517">
      <c r="A1517" s="3" t="inlineStr">
        <is>
          <t>RF 3</t>
        </is>
      </c>
      <c r="B1517" s="2" t="inlineStr">
        <is>
          <t>Home RF 3 koax kábel, dugó-aljzat, dupla árnyékolás, 2,5m, fehér</t>
        </is>
      </c>
      <c r="C1517" s="1" t="n">
        <v>549.0</v>
      </c>
      <c r="D1517" s="7" t="n">
        <f>HYPERLINK("https://www.somogyi.hu/product/home-rf-3-koax-kabel-dugo-aljzat-dupla-arnyekolas-2-5m-feher-rf-3-1818","https://www.somogyi.hu/product/home-rf-3-koax-kabel-dugo-aljzat-dupla-arnyekolas-2-5m-feher-rf-3-1818")</f>
        <v>0.0</v>
      </c>
      <c r="E1517" s="7" t="n">
        <f>HYPERLINK("https://www.somogyi.hu/data/img/product_main_images/small/01818.jpg","https://www.somogyi.hu/data/img/product_main_images/small/01818.jpg")</f>
        <v>0.0</v>
      </c>
      <c r="F1517" s="2" t="inlineStr">
        <is>
          <t>5998312703397</t>
        </is>
      </c>
      <c r="G1517" s="4" t="inlineStr">
        <is>
          <t>Dupla árnyékolást biztosító koax dugó és koax aljzat. A masszív kialakítású RF 3 fehér színben 2,5 méteres hosszban kapható. Válassza a minőségi termékeket és rendeljen webáruházunkból.</t>
        </is>
      </c>
    </row>
    <row r="1518">
      <c r="A1518" s="3" t="inlineStr">
        <is>
          <t>OPK 2/1,5X</t>
        </is>
      </c>
      <c r="B1518" s="2" t="inlineStr">
        <is>
          <t>Home OPK 2/1,5X optikai kábel, 1,5 méter, porvédő sapkával</t>
        </is>
      </c>
      <c r="C1518" s="1" t="n">
        <v>1990.0</v>
      </c>
      <c r="D1518" s="7" t="n">
        <f>HYPERLINK("https://www.somogyi.hu/product/home-opk-2-1-5x-optikai-kabel-1-5-meter-porvedo-sapkaval-opk-2-1-5x-3000","https://www.somogyi.hu/product/home-opk-2-1-5x-optikai-kabel-1-5-meter-porvedo-sapkaval-opk-2-1-5x-3000")</f>
        <v>0.0</v>
      </c>
      <c r="E1518" s="7" t="n">
        <f>HYPERLINK("https://www.somogyi.hu/data/img/product_main_images/small/03000.jpg","https://www.somogyi.hu/data/img/product_main_images/small/03000.jpg")</f>
        <v>0.0</v>
      </c>
      <c r="F1518" s="2" t="inlineStr">
        <is>
          <t>5998312733240</t>
        </is>
      </c>
      <c r="G1518" s="4" t="inlineStr">
        <is>
          <t>Gondolta volna, hogy a kiváló hangminőséghez egy megbízható optikai kábel is elengedhetetlen?
A Home OPK 2/1,5X optikai kábel ideális választás, ha kristálytiszta digitális hangátvitelt szeretne elérni otthoni szórakoztató rendszerében. A Toslink csatlakozóknak köszönhetően tökéletesen kompatibilis számos házimozi-rendszerrel, televízióval, játékkonzollal és audióeszközzel, így minden helyzetben kiemelkedő hangélményt nyújt. A 1,5 méteres kábelhossz elegendő szabadságot biztosít az eszközök kényelmes összekötéséhez, miközben a porvédő sapka védi a csatlakozókat a szennyeződésektől, biztosítva a tartós használatot és a zavartalan jelátvitelt.
Kiemelkedő minőség és megbízhatóság
A Home OPK 2/1,5X optikai kábel strapabíró, fekete színű külső borítással rendelkezik, amely nemcsak esztétikus megjelenést nyújt, hanem ellenáll a mindennapi igénybevételnek is. Az Ø2,2 mm vastagságú kábel garantálja a precíz adatátvitelt, így élvezheti az éles, torzításmentes hangzást minden alkalommal, amikor csatlakoztatja a kedvenc eszközeit. A porvédő sapka hozzájárul a csatlakozók hosszabb élettartamához, megakadályozva a por és más szennyeződések okozta problémákat.
Termékspecifikációk:
- Csatlakozók típusa: Toslink / Toslink
- Kábel hossza: 1,5 méter
- Kábel átmérője: Ø2,2 mm
- Aranyozott csatlakozó: Nem
- Fém csatlakozóház: Nem
- Kialakítás: Strapabíró borítás, porvédő sapkával ellátva
- Szín: Fekete
- Csomagolás: Bliszteres kivitel
Miért válassza ezt az optikai kábelt?
Ha fontos Önnek a tiszta, torzításmentes hangátvitel, és hosszú távra tervez, a Home OPK 2/1,5X optikai kábel kiváló befektetés lehet. A gondos kialakítás és a praktikus porvédő sapkák biztosítják a csatlakozók állandó tisztaságát, ezáltal megőrizve a csúcsteljesítményt. Legyen szó filmnézésről, zenehallgatásról vagy játékélményről, ez a kábel garantáltan kihozza az eszközeiből a legtöbbet.
Tegyen egy lépést a tökéletes hangzás felé, és válassza a Home OPK 2/1,5X optikai kábelt, amely minden alkalommal prémium minőséget nyújt!</t>
        </is>
      </c>
    </row>
    <row r="1519">
      <c r="A1519" s="3" t="inlineStr">
        <is>
          <t>A 3-1M</t>
        </is>
      </c>
      <c r="B1519" s="2" t="inlineStr">
        <is>
          <t>Home A3-1M audiókábel, RCA, 1m</t>
        </is>
      </c>
      <c r="C1519" s="1" t="n">
        <v>2490.0</v>
      </c>
      <c r="D1519" s="7" t="n">
        <f>HYPERLINK("https://www.somogyi.hu/product/home-a3-1m-audiokabel-rca-1m-a-3-1m-14289","https://www.somogyi.hu/product/home-a3-1m-audiokabel-rca-1m-a-3-1m-14289")</f>
        <v>0.0</v>
      </c>
      <c r="E1519" s="7" t="n">
        <f>HYPERLINK("https://www.somogyi.hu/data/img/product_main_images/small/14289.jpg","https://www.somogyi.hu/data/img/product_main_images/small/14289.jpg")</f>
        <v>0.0</v>
      </c>
      <c r="F1519" s="2" t="inlineStr">
        <is>
          <t>5999084923372</t>
        </is>
      </c>
      <c r="G1519" s="4" t="inlineStr">
        <is>
          <t>Hogyan érheti el a tökéletes hangminőséget minimális kábelhosszal? A Home A3-1M audiókábel kiváló választás, ha megbízható, kompakt megoldásra van szüksége rövidebb távolságok áthidalására anélkül, hogy a hangminőségben kompromisszumot kellene kötnie. 
A 2x RCA dugó – 2x RCA dugó kialakítás lehetővé teszi, hogy könnyedén csatlakoztassa audiorendszerét, erősítőjét vagy egyéb kompatibilis eszközeit, stabil és zavartalan kapcsolatot biztosítva. Az 1 méteres hosszúság ideális, ha a készülékek közel helyezkednek el egymáshoz, így a kábel rendezetten illeszkedik a környezetbe anélkül, hogy felesleges helyet foglalna.
Válassza a Home A3-1M audiókábelt, és biztosítsa a tiszta, minőségi hangátvitelt minden zenei vagy filmélményhez – ideális kiegészítője bármilyen otthoni szórakoztató rendszernek!</t>
        </is>
      </c>
    </row>
    <row r="1520">
      <c r="A1520" s="3" t="inlineStr">
        <is>
          <t>A 54-2.5M</t>
        </is>
      </c>
      <c r="B1520" s="2" t="inlineStr">
        <is>
          <t>Home A 54-2.5M audiókábel, 3,5mm sztereó dugó, 3,5mm sztereó aljzat, 2,5m</t>
        </is>
      </c>
      <c r="C1520" s="1" t="n">
        <v>1850.0</v>
      </c>
      <c r="D1520" s="7" t="n">
        <f>HYPERLINK("https://www.somogyi.hu/product/home-a-54-2-5m-audiokabel-3-5mm-sztereo-dugo-3-5mm-sztereo-aljzat-2-5m-a-54-2-5m-14286","https://www.somogyi.hu/product/home-a-54-2-5m-audiokabel-3-5mm-sztereo-dugo-3-5mm-sztereo-aljzat-2-5m-a-54-2-5m-14286")</f>
        <v>0.0</v>
      </c>
      <c r="E1520" s="7" t="n">
        <f>HYPERLINK("https://www.somogyi.hu/data/img/product_main_images/small/14286.jpg","https://www.somogyi.hu/data/img/product_main_images/small/14286.jpg")</f>
        <v>0.0</v>
      </c>
      <c r="F1520" s="2" t="inlineStr">
        <is>
          <t>5999084923341</t>
        </is>
      </c>
      <c r="G1520" s="4" t="inlineStr">
        <is>
          <t>Szüksége van egy megbízható audiókábelre, amely tiszta, torzításmentes hangátvitelt biztosít? A Home A 54-2.5M audiókábel a tökéletes megoldás azok számára, akik első osztályú hangminőséget keresnek mind hordozható, mind otthoni eszközeikhez. 
Az aranyozott csatlakozók garantálják a stabil, zajmentes kapcsolatot, míg a HI-FI minőségű vezeték gondoskodik a kristálytiszta hangzásról, akár zenehallgatás, akár filmnézés közben.
A ∅3,5 mm sztereó dugó és ∅3,5 mm sztereó aljzat sokoldalú csatlakoztatási lehetőséget biztosít, így könnyedén hosszabbíthatja meg fejhallgatója vagy más audióeszköze kábelét. Az alumínium burkolat nemcsak elegáns megjelenést nyújt, de tartóssá is teszi a kábelt, ellenállóvá téve a mindennapi használat során fellépő sérülésekkel szemben. A 2,5 méteres hosszúság tökéletes választás, ha nagyobb távolságban is meg szeretné őrizni a hibátlan hangátvitelt.
Ne érje be kevesebbel, amikor a hangminőségről van szó! Válassza a Home A 54-2.5M audiókábelt, és tapasztalja meg a professzionális hangzást bármilyen helyzetben!</t>
        </is>
      </c>
    </row>
    <row r="1521">
      <c r="A1521" s="3" t="inlineStr">
        <is>
          <t>A 49-4M</t>
        </is>
      </c>
      <c r="B1521" s="2" t="inlineStr">
        <is>
          <t>Home A 49-4M audiókábel, 3,5mm sztereó dugó, RCA, 4m</t>
        </is>
      </c>
      <c r="C1521" s="1" t="n">
        <v>3090.0</v>
      </c>
      <c r="D1521" s="7" t="n">
        <f>HYPERLINK("https://www.somogyi.hu/product/home-a-49-4m-audiokabel-3-5mm-sztereo-dugo-rca-4m-a-49-4m-16109","https://www.somogyi.hu/product/home-a-49-4m-audiokabel-3-5mm-sztereo-dugo-rca-4m-a-49-4m-16109")</f>
        <v>0.0</v>
      </c>
      <c r="E1521" s="7" t="n">
        <f>HYPERLINK("https://www.somogyi.hu/data/img/product_main_images/small/16109.jpg","https://www.somogyi.hu/data/img/product_main_images/small/16109.jpg")</f>
        <v>0.0</v>
      </c>
      <c r="F1521" s="2" t="inlineStr">
        <is>
          <t>5999084941413</t>
        </is>
      </c>
      <c r="G1521" s="4" t="inlineStr">
        <is>
          <t>Szüksége van egy hosszabb audiókábelre, amely kompromisszumok nélkül biztosítja a tiszta hangzást? A Home A 49-4M audiókábel tökéletes választás mind otthoni, mind hordozható készülékeihez. 
Az aranyozott csatlakozók és az alumínium burkolat biztosítják a tartósságot és a kiváló, zajmentes kontaktust, így a hangminőség minden alkalommal kristálytiszta marad. A 3,5 mm-es sztereó dugó és a 2 x RCA dugó könnyedén csatlakoztatható különböző eszközökhöz, legyen szó erősítőről, hangrendszerről vagy hordozható lejátszóról. A 4 méteres kábelhossz elegendő mozgásteret nyújt, így kényelmesen elhelyezheti eszközeit bármilyen elrendezésben anélkül, hogy a kábel hossza korlátozná. Az egyedi formatervezés elegáns megjelenést kölcsönöz a kábelnek, amely így nemcsak praktikus, hanem esztétikus kiegészítője is lesz otthonának vagy irodájának.
Ne hagyja, hogy a rövid kábelek akadályozzák zenei élményeit! Válassza a Home A 49-4M audiókábelt, és élvezze a kiváló hangminőséget bármilyen környezetben!</t>
        </is>
      </c>
    </row>
    <row r="1522">
      <c r="A1522" s="3" t="inlineStr">
        <is>
          <t>RF 1</t>
        </is>
      </c>
      <c r="B1522" s="2" t="inlineStr">
        <is>
          <t>Home RF 1 koax kábel, dugó-aljzat, dupla árnyékolás, 1,5m, fehér</t>
        </is>
      </c>
      <c r="C1522" s="1" t="n">
        <v>419.0</v>
      </c>
      <c r="D1522" s="7" t="n">
        <f>HYPERLINK("https://www.somogyi.hu/product/home-rf-1-koax-kabel-dugo-aljzat-dupla-arnyekolas-1-5m-feher-rf-1-1816","https://www.somogyi.hu/product/home-rf-1-koax-kabel-dugo-aljzat-dupla-arnyekolas-1-5m-feher-rf-1-1816")</f>
        <v>0.0</v>
      </c>
      <c r="E1522" s="7" t="n">
        <f>HYPERLINK("https://www.somogyi.hu/data/img/product_main_images/small/01816.jpg","https://www.somogyi.hu/data/img/product_main_images/small/01816.jpg")</f>
        <v>0.0</v>
      </c>
      <c r="F1522" s="2" t="inlineStr">
        <is>
          <t>5998312703373</t>
        </is>
      </c>
      <c r="G1522" s="4" t="inlineStr">
        <is>
          <t>Dupla árnyékolást biztosító koax dugó és koax aljzat. A masszív kialakítású RF 1 fehér színben 1,5 méteres hosszban kapható. Válassza a minőségi termékeket és rendeljen webáruházunkból.</t>
        </is>
      </c>
    </row>
    <row r="1523">
      <c r="A1523" s="3" t="inlineStr">
        <is>
          <t>11922</t>
        </is>
      </c>
      <c r="B1523" s="2" t="inlineStr">
        <is>
          <t>HOME 11922 Toslink-Mini Toslink adapter, optikai csatlakozó</t>
        </is>
      </c>
      <c r="C1523" s="1" t="n">
        <v>599.0</v>
      </c>
      <c r="D1523" s="7" t="n">
        <f>HYPERLINK("https://www.somogyi.hu/product/home-11922-toslink-mini-toslink-adapter-optikai-csatlakozo-11922-18920","https://www.somogyi.hu/product/home-11922-toslink-mini-toslink-adapter-optikai-csatlakozo-11922-18920")</f>
        <v>0.0</v>
      </c>
      <c r="E1523" s="7" t="n">
        <f>HYPERLINK("https://www.somogyi.hu/data/img/product_main_images/small/18920.jpg","https://www.somogyi.hu/data/img/product_main_images/small/18920.jpg")</f>
        <v>0.0</v>
      </c>
      <c r="F1523" s="2" t="inlineStr">
        <is>
          <t>5999084969141</t>
        </is>
      </c>
      <c r="G1523" s="4" t="inlineStr">
        <is>
          <t>Hogyan javíthatja hangrendszere teljesítményét egyszerűen és gyorsan? A HOME 11922 Toslink-Mini Toslink adapter, optikai csatlakozó az ideális megoldás az audioeszközök összekötésére. 
Ez a praktikus átalakító Toslink aljzatot és 3.5mm Mini Toslink dugót használ, hogy a digitális hangátvitel zavarmentes és kiváló minőségű legyen. A kompakt és könnyű kialakítás lehetővé teszi a könnyed csatlakoztatást és stabil kapcsolatot, elkerülve a hagyományos analóg kábelek által okozott interferenciákat. A kiváló minőségű műanyag és fém ötvözetből készült adapter biztosítja a hosszú élettartamot és a tartósságot.
Ez az átalakító nemcsak a hangminőséget javítja, hanem a csatlakozás stabilitását is növeli. Az eszköz tökéletes választás házimozi rendszerek, erősítők és digitális lejátszók összekapcsolására.
Ne hagyja ki ezt a lehetőséget, hogy kedvenc zenéi és filmjei a legjobb minőségben szólaljanak meg! Vásárolja meg a HOME 11922 Toslink-Mini Toslink adaptert most, és tapasztalja meg a különbséget!</t>
        </is>
      </c>
    </row>
    <row r="1524">
      <c r="A1524" s="3" t="inlineStr">
        <is>
          <t>A 51-1M</t>
        </is>
      </c>
      <c r="B1524" s="2" t="inlineStr">
        <is>
          <t>Home A 51-1M audiókábel, 3,5mm egyenes sztereó dugó, 3,5mm pipa sztereó dugó, 1m</t>
        </is>
      </c>
      <c r="C1524" s="1" t="n">
        <v>1450.0</v>
      </c>
      <c r="D1524" s="7" t="n">
        <f>HYPERLINK("https://www.somogyi.hu/product/home-a-51-1m-audiokabel-3-5mm-egyenes-sztereo-dugo-3-5mm-pipa-sztereo-dugo-1m-a-51-1m-14285","https://www.somogyi.hu/product/home-a-51-1m-audiokabel-3-5mm-egyenes-sztereo-dugo-3-5mm-pipa-sztereo-dugo-1m-a-51-1m-14285")</f>
        <v>0.0</v>
      </c>
      <c r="E1524" s="7" t="n">
        <f>HYPERLINK("https://www.somogyi.hu/data/img/product_main_images/small/14285.jpg","https://www.somogyi.hu/data/img/product_main_images/small/14285.jpg")</f>
        <v>0.0</v>
      </c>
      <c r="F1524" s="2" t="inlineStr">
        <is>
          <t>5999084923334</t>
        </is>
      </c>
      <c r="G1524" s="4" t="inlineStr">
        <is>
          <t>Egy prémium minőségű audiókábelt keres, amely tökéletes hangminőséget biztosít eszközei között? A Home A 51-1M audiókábel ideális megoldás mind hordozható, mind otthoni készülékekhez, hiszen HI-FI hangminőségű vezetékével garantálja a kristálytiszta hangzást. 
A ∅3,5 mm-es egyenes sztereó dugó és a ∅3,5 mm-es pipa sztereó dugó lehetővé teszi a kényelmes csatlakoztatást különböző eszközökhöz, például telefonokhoz, fejhallgatókhoz, hangszórókhoz.
Az aranyozott csatlakozók kiváló, zajmentes kontaktust biztosítanak, míg az alumínium burkolat nemcsak elegáns megjelenést kölcsönöz a kábelnek, de védelmet is nyújt a mindennapi használat során. A 1 méteres hosszúság ideális, ha rövidebb távolságban szeretne stabil kapcsolatot létesíteni anélkül, hogy a kábel összegabalyodna vagy túl hosszú lenne.
Ne érje be kevesebbel a hangminőség terén! Válassza a Home A 51-1M audiókábelt, és élvezze a professzionális szintű zenehallgatást bárhol, bármikor!</t>
        </is>
      </c>
    </row>
    <row r="1525">
      <c r="A1525" s="3" t="inlineStr">
        <is>
          <t>RF 5X</t>
        </is>
      </c>
      <c r="B1525" s="2" t="inlineStr">
        <is>
          <t>Home RF 5X koax kábel, dugó-aljzat, 5m, fehér színű</t>
        </is>
      </c>
      <c r="C1525" s="1" t="n">
        <v>959.0</v>
      </c>
      <c r="D1525" s="7" t="n">
        <f>HYPERLINK("https://www.somogyi.hu/product/home-rf-5x-koax-kabel-dugo-aljzat-5m-feher-szinu-rf-5x-2160","https://www.somogyi.hu/product/home-rf-5x-koax-kabel-dugo-aljzat-5m-feher-szinu-rf-5x-2160")</f>
        <v>0.0</v>
      </c>
      <c r="E1525" s="7" t="n">
        <f>HYPERLINK("https://www.somogyi.hu/data/img/product_main_images/small/02160.jpg","https://www.somogyi.hu/data/img/product_main_images/small/02160.jpg")</f>
        <v>0.0</v>
      </c>
      <c r="F1525" s="2" t="inlineStr">
        <is>
          <t>5998312724248</t>
        </is>
      </c>
      <c r="G1525" s="4" t="inlineStr">
        <is>
          <t>Szüksége van egy megbízható és tartós koax kábelre, amely biztosítja a zavartalan jelátvitelt nagyobb távolságokon is?
A Home RF 5X koax kábel kiváló választás televíziók, set-top boxok és más koaxiális csatlakozást igénylő eszközök összekapcsolására, ahol fontos a jelstabilitás és a könnyű telepítés. Az 5 méteres kábelhossz lehetővé teszi, hogy a távolabb elhelyezett eszközöket is kényelmesen összekösse, miközben a fehér színű borítás esztétikus megjelenést biztosít a környezetben.
Főbb jellemzők:
- Csatlakozók: Koax dugó – koax aljzat, amelyek precíz és gyors csatlakozást biztosítanak
- Kábelhossz: 5 méter, amely elegendő távolságot nyújt a készülékek kényelmes összekötéséhez, anélkül hogy zavaróan feszes lenne a kábel
- Tartós burkolat: A fehér színű, strapabíró borítás védi a vezetéket a sérülésektől, és esztétikusan illeszkedik a modern otthoni környezetbe
- Bliszteres kiszerelés: Praktikus csomagolás, amely védi a terméket a szállítás során, és biztosítja a hibátlan minőséget a használat előtt
Miért válassza a Home RF 5X koax kábelt?
Ez a kiváló minőségű kábel nemcsak a stabil jelátvitelt garantálja, hanem tartós használatot is biztosít. Ideális választás, ha hosszabb távolságokon keresztül szeretne csatlakoztatni koaxiális eszközöket anélkül, hogy aggódnia kellene a jelvesztés miatt. A kényelmes 5 méteres hosszúság, a tartós kivitel és a megbízható csatlakozók mind hozzájárulnak ahhoz, hogy hosszú távon elégedett legyen a választásával. Válassza a Home RF 5X koax kábelt, és élvezze a kiváló jelátvitelt minden helyzetben!</t>
        </is>
      </c>
    </row>
    <row r="1526">
      <c r="A1526" s="3" t="inlineStr">
        <is>
          <t>RF 3X</t>
        </is>
      </c>
      <c r="B1526" s="2" t="inlineStr">
        <is>
          <t>Home RF 3X koax kábel, dugó-aljzat, 2.5m, fehér színű</t>
        </is>
      </c>
      <c r="C1526" s="1" t="n">
        <v>669.0</v>
      </c>
      <c r="D1526" s="7" t="n">
        <f>HYPERLINK("https://www.somogyi.hu/product/home-rf-3x-koax-kabel-dugo-aljzat-2-5m-feher-szinu-rf-3x-2159","https://www.somogyi.hu/product/home-rf-3x-koax-kabel-dugo-aljzat-2-5m-feher-szinu-rf-3x-2159")</f>
        <v>0.0</v>
      </c>
      <c r="E1526" s="7" t="n">
        <f>HYPERLINK("https://www.somogyi.hu/data/img/product_main_images/small/02159.jpg","https://www.somogyi.hu/data/img/product_main_images/small/02159.jpg")</f>
        <v>0.0</v>
      </c>
      <c r="F1526" s="2" t="inlineStr">
        <is>
          <t>5998312724231</t>
        </is>
      </c>
      <c r="G1526" s="4" t="inlineStr">
        <is>
          <t>Szüksége van egy megbízható és tartós koax kábelre, amely biztosítja a zavartalan jelátvitelt nagyobb távolságokon is?
A Home RF 3X koax kábel kiváló választás televíziók, set-top boxok és más koaxiális csatlakozást igénylő eszközök összekapcsolására, ahol fontos a jelstabilitás és a könnyű telepítés. A 3 méteres kábelhossz lehetővé teszi, hogy a távolabb elhelyezett eszközöket is kényelmesen összekösse, miközben a fehér színű borítás esztétikus megjelenést biztosít a környezetben.
Főbb jellemzők:
- Csatlakozók: Koax dugó – koax aljzat, amelyek precíz és gyors csatlakozást biztosítanak
- Kábelhossz: 2.5 méter, amely elegendő távolságot nyújt a készülékek kényelmes összekötéséhez, anélkül hogy zavaróan feszes lenne a kábel
- Tartós burkolat: A fehér színű, strapabíró borítás védi a vezetéket a sérülésektől, és esztétikusan illeszkedik a modern otthoni környezetbe
- Bliszteres kiszerelés: Praktikus csomagolás, amely védi a terméket a szállítás során, és biztosítja a hibátlan minőséget a használat előtt
Miért válassza a Home RF 3X koax kábelt?
Ez a kiváló minőségű kábel nemcsak a stabil jelátvitelt garantálja, hanem tartós használatot is biztosít. Ideális választás, ha hosszabb távolságokon keresztül szeretne csatlakoztatni koaxiális eszközöket anélkül, hogy aggódnia kellene a jelvesztés miatt. A kényelmes 2.5 méteres hosszúság, a tartós kivitel és a megbízható csatlakozók mind hozzájárulnak ahhoz, hogy hosszú távon elégedett legyen a választásával. Válassza a Home RF 3X koax kábelt, és élvezze a kiváló jelátvitelt minden helyzetben!</t>
        </is>
      </c>
    </row>
    <row r="1527">
      <c r="A1527" s="3" t="inlineStr">
        <is>
          <t>A 49X</t>
        </is>
      </c>
      <c r="B1527" s="2" t="inlineStr">
        <is>
          <t>Audió kábel, 3,5 mm sztereó dugó-2 RCA dugó 1,5 m</t>
        </is>
      </c>
      <c r="C1527" s="1" t="n">
        <v>749.0</v>
      </c>
      <c r="D1527" s="7" t="n">
        <f>HYPERLINK("https://www.somogyi.hu/product/audio-kabel-3-5-mm-sztereo-dugo-2-rca-dugo-1-5-m-a-49x-2156","https://www.somogyi.hu/product/audio-kabel-3-5-mm-sztereo-dugo-2-rca-dugo-1-5-m-a-49x-2156")</f>
        <v>0.0</v>
      </c>
      <c r="E1527" s="7" t="n">
        <f>HYPERLINK("https://www.somogyi.hu/data/img/product_main_images/small/02156.jpg","https://www.somogyi.hu/data/img/product_main_images/small/02156.jpg")</f>
        <v>0.0</v>
      </c>
      <c r="F1527" s="2" t="inlineStr">
        <is>
          <t>5998312724194</t>
        </is>
      </c>
      <c r="G1527" s="4" t="inlineStr">
        <is>
          <t>Egy megbízható audiókábelt keres, amellyel tökéletes hangminőséget érhet el? A Home A 49 audiókábel ideális megoldás mindazoknak, akik stabil és kiváló minőségű kapcsolatot szeretnének létrehozni különböző eszközeik között. 
A 3,5 mm-es sztereó dugó és a 2 x RCA dugó biztosítja a sokoldalú felhasználhatóságot, így zökkenőmentesen csatlakoztathatja például okostelefonját, laptopját vagy lejátszóját erősítőhöz, hangrendszerhez. A 1,5 méteres hosszúság kényelmes távolságot nyújt, amely ideális otthoni, irodai, vagy akár szórakozóhelyi környezetben is. A precíz kialakításnak köszönhetően a kábel tartós és könnyen használható, biztosítva a tiszta, torzításmentes hangátvitelt. Tökéletes választás zenei élményei javításához, legyen szó moziszerű házimozi élményről, vagy csupán a kedvenc lejátszási listáiról.
A terméket bliszteres csomagolásban szállítjuk.
Ne elégedjen meg a gyenge minőségű kábelekkel! Válassza a Home A 49 audiókábelt, és tapasztalja meg a kristálytiszta hangzás élményét minden eszközén!</t>
        </is>
      </c>
    </row>
    <row r="1528">
      <c r="A1528" s="6" t="inlineStr">
        <is>
          <t xml:space="preserve">   Audio-video kiegészítők / Audiocsatlakozó átalakító</t>
        </is>
      </c>
      <c r="B1528" s="6" t="inlineStr">
        <is>
          <t/>
        </is>
      </c>
      <c r="C1528" s="6" t="inlineStr">
        <is>
          <t/>
        </is>
      </c>
      <c r="D1528" s="6" t="inlineStr">
        <is>
          <t/>
        </is>
      </c>
      <c r="E1528" s="6" t="inlineStr">
        <is>
          <t/>
        </is>
      </c>
      <c r="F1528" s="6" t="inlineStr">
        <is>
          <t/>
        </is>
      </c>
      <c r="G1528" s="6" t="inlineStr">
        <is>
          <t/>
        </is>
      </c>
    </row>
    <row r="1529">
      <c r="A1529" s="3" t="inlineStr">
        <is>
          <t>AC 4</t>
        </is>
      </c>
      <c r="B1529" s="2" t="inlineStr">
        <is>
          <t>Home AC 4 audióátalakító, 6,3mm monó dugó, RCA aljzat</t>
        </is>
      </c>
      <c r="C1529" s="1" t="n">
        <v>269.0</v>
      </c>
      <c r="D1529" s="7" t="n">
        <f>HYPERLINK("https://www.somogyi.hu/product/home-ac-4-audioatalakito-6-3mm-mono-dugo-rca-aljzat-ac-4-1708","https://www.somogyi.hu/product/home-ac-4-audioatalakito-6-3mm-mono-dugo-rca-aljzat-ac-4-1708")</f>
        <v>0.0</v>
      </c>
      <c r="E1529" s="7" t="n">
        <f>HYPERLINK("https://www.somogyi.hu/data/img/product_main_images/small/01708.jpg","https://www.somogyi.hu/data/img/product_main_images/small/01708.jpg")</f>
        <v>0.0</v>
      </c>
      <c r="F1529" s="2" t="inlineStr">
        <is>
          <t>5998312700778</t>
        </is>
      </c>
      <c r="G1529" s="4" t="inlineStr">
        <is>
          <t>Hogyan kötheti össze különböző típusú audióeszközeit egyszerűen? A Home AC 4 audióátalakító ideális megoldást kínál, ha eltérő csatlakozókkal rendelkező eszközöket szeretne összekötni. 
Ez az átalakító egy ∅6,3 mm-es monó dugót alakít át RCA aljzatra, így könnyedén csatlakoztathatja például hangszóróit vagy más professzionális audióeszközeit különböző kimenetekhez.
A kiváló minőségű kialakítás biztosítja a tiszta, zajmentes hangátvitelt, így garantálva a megbízható működést. Ideális stúdióhasználathoz, zenei eszközök csatlakoztatásához, vagy otthoni hangrendszerekhez, ahol különböző csatlakozóval ellátott készülékeket kell összekapcsolni.
Ne engedje, hogy a nem kompatibilis csatlakozók akadályozzák! Válassza a Home AC 4 audióátalakítót, és élvezze a kiváló hangminőséget bármilyen audióeszközzel!</t>
        </is>
      </c>
    </row>
    <row r="1530">
      <c r="A1530" s="3" t="inlineStr">
        <is>
          <t>AC 16X</t>
        </is>
      </c>
      <c r="B1530" s="2" t="inlineStr">
        <is>
          <t>Home AC 16X audió átalakító, 3,5 mm sztereó dugó-2 x 3,5 mm sztereó alj</t>
        </is>
      </c>
      <c r="C1530" s="1" t="n">
        <v>289.0</v>
      </c>
      <c r="D1530" s="7" t="n">
        <f>HYPERLINK("https://www.somogyi.hu/product/home-ac-16x-audio-atalakito-3-5-mm-sztereo-dugo-2-x-3-5-mm-sztereo-alj-ac-16x-2254","https://www.somogyi.hu/product/home-ac-16x-audio-atalakito-3-5-mm-sztereo-dugo-2-x-3-5-mm-sztereo-alj-ac-16x-2254")</f>
        <v>0.0</v>
      </c>
      <c r="E1530" s="7" t="n">
        <f>HYPERLINK("https://www.somogyi.hu/data/img/product_main_images/small/02254.jpg","https://www.somogyi.hu/data/img/product_main_images/small/02254.jpg")</f>
        <v>0.0</v>
      </c>
      <c r="F1530" s="2" t="inlineStr">
        <is>
          <t>5998312725207</t>
        </is>
      </c>
      <c r="G1530" s="4" t="inlineStr">
        <is>
          <t>Szeretné megosztani kedvenc zenéit egy barátjával vagy egyszerre két eszközre csatlakoztatni ugyanazt a hangforrást? A Home AC 16X audió átalakító praktikus megoldást kínál minden ilyen helyzetre. Ez a 3,5 mm sztereó dugóval és két sztereó aljzattal rendelkező adapter lehetővé teszi, hogy két fejhallgatót, hangszórót vagy egyéb audió eszközt csatlakoztasson egyetlen forráshoz, például okostelefonhoz, laptophoz vagy táblagéphez.
Kiemelt jellemzők:
- Több eszköz csatlakoztatása egyszerre: A 3,5 mm-es sztereó dugó és a 2 x 3,5 mm sztereó aljzat révén lehetővé teszi, hogy egyszerre két eszközt csatlakoztasson ugyanahhoz a hangforráshoz. Ideális zenehallgatáshoz, filmnézéshez vagy közös játékélményhez.
- Széleskörű kompatibilitás: Kompatibilis szinte minden 3,5 mm-es audió csatlakozóval rendelkező eszközzel, beleértve okostelefonokat, laptopokat, táblagépeket, MP3 lejátszókat és hordozható hangszórókat.
- Kiváló hangminőség: Az adapter kialakítása biztosítja a tiszta és torzításmentes hangátvitelt, így zavartalanul élvezheti a zenét vagy a filmeket.
- Kompakt és könnyen hordozható: Kis méretének köszönhetően egyszerűen magával viheti bárhová, így sosem kell lemondania a közös zenehallgatás öröméről.
- Bliszteres csomagolás: A tartós, bliszteres csomagolás megvédi az adaptert a szállítás és tárolás során.
Felhasználási lehetőségek:
- Közös zenehallgatás: Ossza meg kedvenc zenéit egy barátjával vagy családtagjával úgy, hogy mindketten saját fejhallgatón keresztül hallgathatják ugyanazt a dallamot.
- Kettős hangszóró csatlakoztatása: Egyszerre két hangszórót is csatlakoztathat, hogy még erőteljesebb hangzást érjen el otthon vagy akár szabadtéren.
- Filmnézés társaságban: Ideális választás, ha nem szeretné zavarni a környezetét, de mégis szeretne valakivel együtt filmet nézni fejhallgatón keresztül.
A Home AC 16X audió átalakító tökéletes megoldás mindenki számára, aki gyakran szeretné megosztani a hangélményt másokkal. Kompakt méretének és egyszerű használatának köszönhetően gyorsan a mindennapok kedvenc kiegészítőjévé válhat. Rendelje meg most, és élvezze a közös zenehallgatás élményét bárhol, bármikor!</t>
        </is>
      </c>
    </row>
    <row r="1531">
      <c r="A1531" s="3" t="inlineStr">
        <is>
          <t>AC 9</t>
        </is>
      </c>
      <c r="B1531" s="2" t="inlineStr">
        <is>
          <t>Home AC 9 audióátalakító, 6,3mm sztereó dugó, 3,5mm sztereó aljzat</t>
        </is>
      </c>
      <c r="C1531" s="1" t="n">
        <v>289.0</v>
      </c>
      <c r="D1531" s="7" t="n">
        <f>HYPERLINK("https://www.somogyi.hu/product/home-ac-9-audioatalakito-6-3mm-sztereo-dugo-3-5mm-sztereo-aljzat-ac-9-1711","https://www.somogyi.hu/product/home-ac-9-audioatalakito-6-3mm-sztereo-dugo-3-5mm-sztereo-aljzat-ac-9-1711")</f>
        <v>0.0</v>
      </c>
      <c r="E1531" s="7" t="n">
        <f>HYPERLINK("https://www.somogyi.hu/data/img/product_main_images/small/01711.jpg","https://www.somogyi.hu/data/img/product_main_images/small/01711.jpg")</f>
        <v>0.0</v>
      </c>
      <c r="F1531" s="2" t="inlineStr">
        <is>
          <t>5998312700815</t>
        </is>
      </c>
      <c r="G1531" s="4" t="inlineStr">
        <is>
          <t>Szeretné egyszerűen csatlakoztatni kisebb jack-csatlakozós eszközeit nagyobb bemenethez? A Home AC 9 audióátalakító tökéletes megoldást kínál, ha kisebb csatlakozós eszközeit, mint például fülhallgatókat vagy mikrofonokat szeretné nagyobb, ∅6,3 mm-es bemenettel rendelkező eszközökhöz kapcsolni. 
Az átalakító ∅6,3 mm-es sztereó dugót biztosít, amely egy ∅3,5 mm-es sztereó aljzatba illeszthető, így könnyedén használhatja zenei és hangtechnikai felszereléseivel.
Kiváló minőségű anyagokból készült, így biztosítja a tiszta és zavartalan hangátvitelt. Kompakt és könnyen hordozható kialakítása révén bármilyen környezetben, akár stúdióban, akár otthon vagy útközben is jól használható.
Ne hagyja, hogy a különböző csatlakozók korlátozzák eszközei használhatóságát! Válassza a Home AC 9 audióátalakítót, és élvezze a zökkenőmentes, profi csatlakozást minden helyzetben!</t>
        </is>
      </c>
    </row>
    <row r="1532">
      <c r="A1532" s="3" t="inlineStr">
        <is>
          <t>AC 6</t>
        </is>
      </c>
      <c r="B1532" s="2" t="inlineStr">
        <is>
          <t>Home AC 6 audióátalakító, 3,5mm sztereó dugó, 6,3mm sztereó aljzat</t>
        </is>
      </c>
      <c r="C1532" s="1" t="n">
        <v>279.0</v>
      </c>
      <c r="D1532" s="7" t="n">
        <f>HYPERLINK("https://www.somogyi.hu/product/home-ac-6-audioatalakito-3-5mm-sztereo-dugo-6-3mm-sztereo-aljzat-ac-6-1709","https://www.somogyi.hu/product/home-ac-6-audioatalakito-3-5mm-sztereo-dugo-6-3mm-sztereo-aljzat-ac-6-1709")</f>
        <v>0.0</v>
      </c>
      <c r="E1532" s="7" t="n">
        <f>HYPERLINK("https://www.somogyi.hu/data/img/product_main_images/small/01709.jpg","https://www.somogyi.hu/data/img/product_main_images/small/01709.jpg")</f>
        <v>0.0</v>
      </c>
      <c r="F1532" s="2" t="inlineStr">
        <is>
          <t>5998312700792</t>
        </is>
      </c>
      <c r="G1532" s="4" t="inlineStr">
        <is>
          <t>Hogyan kapcsolhatja össze különböző méretű csatlakozókkal rendelkező audióeszközeit? A Home AC 6 audióátalakító kiváló megoldást kínál, ha kisebb és nagyobb csatlakozóval rendelkező készülékeit szeretné könnyedén összekötni. 
Az eszköz egy ∅3,5 mm-es sztereó dugót alakít át ∅6,3 mm-es sztereó aljzatra, így tökéletesen használható, ha például egy kisebb jack-csatlakozós fülhallgatót vagy mikrofont szeretne nagyobb jack bemenettel ellátott keverőpulthoz, erősítőhöz vagy hangszóróhoz csatlakoztatni. A minőségi kialakítás garantálja a stabil kapcsolatot és a tiszta hangátvitelt, így biztosítva, hogy ne veszítsen semmit a hangminőségből, függetlenül attól, hogy milyen eszközt csatlakoztat. Kompakt méretének köszönhetően könnyen hordozható, így ideális otthoni, stúdió- vagy színpadi használatra egyaránt.
Ne hagyja, hogy a különböző csatlakozók akadályozzák a munkáját vagy a zenehallgatást! Válassza a Home AC 6 audióátalakítót, és élvezze a korlátlan csatlakozási lehetőségeket!</t>
        </is>
      </c>
    </row>
    <row r="1533">
      <c r="A1533" s="3" t="inlineStr">
        <is>
          <t>AC 17X</t>
        </is>
      </c>
      <c r="B1533" s="2" t="inlineStr">
        <is>
          <t>Home AC 17X audió átalakító, 3,5 mm sztereó dugó-2xRCA alj</t>
        </is>
      </c>
      <c r="C1533" s="1" t="n">
        <v>369.0</v>
      </c>
      <c r="D1533" s="7" t="n">
        <f>HYPERLINK("https://www.somogyi.hu/product/home-ac-17x-audio-atalakito-3-5-mm-sztereo-dugo-2xrca-alj-ac-17x-2256","https://www.somogyi.hu/product/home-ac-17x-audio-atalakito-3-5-mm-sztereo-dugo-2xrca-alj-ac-17x-2256")</f>
        <v>0.0</v>
      </c>
      <c r="E1533" s="7" t="n">
        <f>HYPERLINK("https://www.somogyi.hu/data/img/product_main_images/small/02256.jpg","https://www.somogyi.hu/data/img/product_main_images/small/02256.jpg")</f>
        <v>0.0</v>
      </c>
      <c r="F1533" s="2" t="inlineStr">
        <is>
          <t>5998312725221</t>
        </is>
      </c>
      <c r="G1533" s="4" t="inlineStr">
        <is>
          <t>Hogyan kötheti össze egyszerűen okostelefonját vagy laptopját egy hagyományos HiFi rendszerrel? A Home AC 17X audió átalakító a tökéletes megoldás, amely lehetővé teszi, hogy 3,5 mm-es sztereó csatlakozóval rendelkező eszközeit 2 x RCA aljzattal ellátott audió berendezésekhez csatlakoztassa. Legyen szó zenehallgatásról, filmnézésről vagy prezentációkról, ezzel az adapterrel mindig garantált a kiváló hangminőség és a kényelmes használat.
Kiemelt tulajdonságok:
- Univerzális csatlakoztathatóság: A 3,5 mm-es sztereó dugó lehetővé teszi a legtöbb modern audió eszköz – például okostelefonok, táblagépek, laptopok vagy MP3 lejátszók – csatlakoztatását olyan berendezésekhez, amelyek 2 x RCA aljzattal rendelkeznek, például erősítőkhöz, HiFi rendszerekhez vagy hangszórókhoz.
- Kiváló hangminőség: Az átalakító gondoskodik a tiszta és torzításmentes hangátvitelről, így zenei élménye kompromisszumok nélküli lesz. Ideális választás zenehallgatáshoz, házimozi-rendszerekhez vagy professzionális hangtechnikai alkalmazásokhoz.
- Kompakt és strapabíró kialakítás: Kis mérete miatt könnyedén magával viheti, így akár útközben is hasznát veheti. A strapabíró csatlakozók hosszú élettartamot garantálnak, még gyakori használat esetén is.
- Egyszerű használat: A Home AC 17X átalakító azonnal használatra kész – nincs szükség semmilyen különleges beállításra vagy telepítésre. Csatlakoztassa a 3,5 mm-es dugót az eszközéhez, az RCA csatlakozókat pedig az audió bemenethez, és élvezze a tökéletes hangzást.
- Bliszteres csomagolás: A tartós bliszteres csomagolás megvédi a terméket a szállítás és tárolás során.
Felhasználási lehetőségek:
- HiFi rendszerek és hangszórók csatlakoztatása: Ideális választás azok számára, akik szeretnék okostelefonjukat vagy táblagépüket egy nagy teljesítményű hangrendszerhez csatlakoztatni.
- Zenei és filmélmény javítása: A Home AC 17X átalakítóval laptopjáról vagy más hordozható eszközéről is élvezheti a kiváló minőségű hangot nagyobb hangszórókon keresztül.
- Professzionális felhasználás: Akár stúdiómunkához, akár hangtechnikai projektekhez keres megbízható megoldást, ez az átalakító garantáltan megállja a helyét.
A Home AC 17X audió átalakító tökéletes választás mindazok számára, akik egyszerű, mégis hatékony megoldást keresnek különböző audió eszközök összekapcsolására. Ne hagyja ki ezt a praktikus kiegészítőt – rendelje meg most, és élvezze a kristálytiszta hangzást bármikor, bárhol!</t>
        </is>
      </c>
    </row>
    <row r="1534">
      <c r="A1534" s="3" t="inlineStr">
        <is>
          <t>AC 4X</t>
        </is>
      </c>
      <c r="B1534" s="2" t="inlineStr">
        <is>
          <t>Home AC 4X audió átalakító, 6,3 mm monó dugó-RCA alj</t>
        </is>
      </c>
      <c r="C1534" s="1" t="n">
        <v>369.0</v>
      </c>
      <c r="D1534" s="7" t="n">
        <f>HYPERLINK("https://www.somogyi.hu/product/home-ac-4x-audio-atalakito-6-3-mm-mono-dugo-rca-alj-ac-4x-2257","https://www.somogyi.hu/product/home-ac-4x-audio-atalakito-6-3-mm-mono-dugo-rca-alj-ac-4x-2257")</f>
        <v>0.0</v>
      </c>
      <c r="E1534" s="7" t="n">
        <f>HYPERLINK("https://www.somogyi.hu/data/img/product_main_images/small/02257.jpg","https://www.somogyi.hu/data/img/product_main_images/small/02257.jpg")</f>
        <v>0.0</v>
      </c>
      <c r="F1534" s="2" t="inlineStr">
        <is>
          <t>5998312725238</t>
        </is>
      </c>
      <c r="G1534" s="4" t="inlineStr">
        <is>
          <t>Hogyan érhet el tiszta, stabil hangminőséget különböző eszközök csatlakoztatásával? A Home AC 4X audió átalakító tökéletes megoldás, ha 6,3 mm-es monó jack dugót szeretne RCA aljzathoz csatlakoztatni. Ideális választás azok számára, akik régebbi vagy speciális audioeszközeiket modern rendszerekkel kívánják összekötni anélkül, hogy veszélyeztetnék a hangminőséget.
Kiváló kompatibilitás és könnyű használat
Ez az audió átalakító egy 6,3 mm-es monó dugót köt össze egy RCA aljzattal, amely gyakori az audiorendszerek és professzionális hangberendezések esetében. Különösen praktikus, ha hangszereket, keverőpultokat vagy más stúdióeszközöket kíván összekapcsolni hangfalakkal vagy erősítőkkel.
Masszív kivitel a hosszú élettartam érdekében
A Home AC 4X átalakító strapabíró kialakítása garantálja, hogy hosszú távon is megbízhatóan használható legyen. A csatlakozó részek tartós anyagból készültek, így ellenállnak a rendszeres csatlakoztatás és leválasztás okozta kopásnak. Az eszköz kompakt mérete megkönnyíti a szállítást és a tárolást, így bárhová magával viheti.
Kifogástalan hangminőség minden helyzetben
Az átalakító biztosítja a stabil jelátvitelt, így nem kell attól tartania, hogy a csatlakozás minősége rontja az élményt. Legyen szó zenei próbáról, stúdiófelvételről vagy akár otthoni zenehallgatásról, a Home AC 4X mindig a legjobb teljesítményt nyújtja.
Miért érdemes a Home AC 4X audió átalakítót választani?
– Megbízható kapcsolatot biztosít 6,3 mm-es monó dugó és RCA aljzat között
 – Strapabíró kialakítása hosszú távú használatra készült 
– Kompakt mérete miatt könnyen szállítható 
– Garantálja a tiszta és zavartalan hangminőséget
Ne hagyja, hogy az eltérő csatlakozók akadályt jelentsenek! Válassza a Home AC 4X audió átalakítót, és élvezze a problémamentes, kiváló minőségű hangélményt minden alkalommal!</t>
        </is>
      </c>
    </row>
    <row r="1535">
      <c r="A1535" s="3" t="inlineStr">
        <is>
          <t>AC 9X</t>
        </is>
      </c>
      <c r="B1535" s="2" t="inlineStr">
        <is>
          <t>Home AC 9X audió átalakító, 6,3 mm sztereó dugó- 3,5 mm sztereó alj</t>
        </is>
      </c>
      <c r="C1535" s="1" t="n">
        <v>379.0</v>
      </c>
      <c r="D1535" s="7" t="n">
        <f>HYPERLINK("https://www.somogyi.hu/product/home-ac-9x-audio-atalakito-6-3-mm-sztereo-dugo-3-5-mm-sztereo-alj-ac-9x-2258","https://www.somogyi.hu/product/home-ac-9x-audio-atalakito-6-3-mm-sztereo-dugo-3-5-mm-sztereo-alj-ac-9x-2258")</f>
        <v>0.0</v>
      </c>
      <c r="E1535" s="7" t="n">
        <f>HYPERLINK("https://www.somogyi.hu/data/img/product_main_images/small/02258.jpg","https://www.somogyi.hu/data/img/product_main_images/small/02258.jpg")</f>
        <v>0.0</v>
      </c>
      <c r="F1535" s="2" t="inlineStr">
        <is>
          <t>5998312725245</t>
        </is>
      </c>
      <c r="G1535" s="4" t="inlineStr">
        <is>
          <t>Hogyan biztosíthat tökéletes csatlakozást professzionális és hordozható audió eszközei között? 
A Home AC 9X audió átalakító praktikus megoldást kínál minden olyan helyzetben, amikor 6,3 mm-es sztereó csatlakozót kell 3,5 mm-es sztereó aljzathoz illeszteni. Legyen szó stúdiómunkáról, zenei próbáról vagy otthoni zenehallgatásról, ezzel az átalakítóval könnyedén összekötheti különböző típusú hangberendezéseit.
Univerzális csatlakoztathatóság
A termék 6,3 mm-es sztereó dugóval és 3,5 mm-es sztereó aljzattal rendelkezik, amely lehetővé teszi, hogy professzionális eszközöket, például keverőpultokat, erősítőket vagy hangszórókat csatlakoztasson kisebb csatlakozóval rendelkező eszközökhöz, például fülhallgatókhoz vagy hordozható lejátszókhoz. Az átalakító használatával könnyedén bővítheti eszközei kompatibilitását, így rugalmasabbá teheti zenei élményeit.
Tartós és megbízható kialakítás
A Home AC 9X audió átalakító masszív anyaghasználatának köszönhetően hosszú élettartamot biztosít. A precíz csatlakozók szoros illeszkedést garantálnak, ami minimalizálja a jelveszteséget, így mindig kiváló hangminőséget élvezhet. Kompakt méretének köszönhetően könnyen szállítható, így bárhol, bármikor kéznél lehet, amikor szüksége van rá.
Kompakt és praktikus csomagolás
Az átalakító egy darabos, bliszteres csomagolásban érkezik, amely megóvja a szállítás közbeni sérülésektől, és megkönnyíti a tárolást. Így biztos lehet benne, hogy az átalakító mindig megfelelő állapotban lesz, amikor használni szeretné.
Miért érdemes a Home AC 9X audió átalakítót választani?
– Lehetővé teszi a különböző csatlakozók használatát egyetlen eszközzel 
– Kiválóan illeszkedik mind professzionális, mind hordozható eszközökhöz 
– Tartós anyaghasználat a hosszú távú megbízhatóság érdekében 
– Kompakt méret és praktikus bliszteres csomagolás
Ne hagyja, hogy a nem megfelelő csatlakozó korlátozza a zenei élményt! Válassza a Home AC 9X audió átalakítót, és élvezze a kompromisszumok nélküli hangminőséget minden alkalommal!</t>
        </is>
      </c>
    </row>
    <row r="1536">
      <c r="A1536" s="3" t="inlineStr">
        <is>
          <t>AC 19X</t>
        </is>
      </c>
      <c r="B1536" s="2" t="inlineStr">
        <is>
          <t>Home AC 19X RCA toldó, aljzat-aljzat</t>
        </is>
      </c>
      <c r="C1536" s="1" t="n">
        <v>239.0</v>
      </c>
      <c r="D1536" s="7" t="n">
        <f>HYPERLINK("https://www.somogyi.hu/product/home-ac-19x-rca-toldo-aljzat-aljzat-ac-19x-2213","https://www.somogyi.hu/product/home-ac-19x-rca-toldo-aljzat-aljzat-ac-19x-2213")</f>
        <v>0.0</v>
      </c>
      <c r="E1536" s="7" t="n">
        <f>HYPERLINK("https://www.somogyi.hu/data/img/product_main_images/small/02213.jpg","https://www.somogyi.hu/data/img/product_main_images/small/02213.jpg")</f>
        <v>0.0</v>
      </c>
      <c r="F1536" s="2" t="inlineStr">
        <is>
          <t>5998312724781</t>
        </is>
      </c>
      <c r="G1536" s="4" t="inlineStr">
        <is>
          <t>Hogyan oldhatja meg gyorsan és hatékonyan az RCA kábelek toldását, amikor hosszabbítóra van szüksége? A Home AC 19X RCA toldó ideális megoldást nyújt a különböző audiovizuális eszközök összekapcsolására, legyen szó házimozi rendszerekről, HiFi készülékekről vagy professzionális hangtechnikai alkalmazásokról. Ez a kompakt, mégis masszív kialakítású RCA toldó tökéletes választás azok számára, akik megbízható csatlakozást keresnek a kiváló minőségű hang- és képtovábbítás érdekében.
Kiemelt jellemzők:
- Univerzális kompatibilitás: Az RCA aljzat-aljzat kialakításnak köszönhetően különféle RCA kábelek toldására használható, így bármilyen audio vagy videó rendszerhez könnyedén csatlakoztatható.
- Tartós, műanyag ház: A strapabíró műanyag burkolat gondoskodik a hosszú élettartamról, miközben könnyű és egyszerűen kezelhető marad.
- Monó kialakítás: Kiváló választás monó hangrendszerekhez, ahol egycsatornás jelátvitelre van szükség, például egyes mélysugárzók vagy sztereó rendszerek komponensei között.
- Bliszteres csomagolás: Az 1 darabos bliszteres csomagolás megóvja a terméket a szállítás és tárolás során, így garantálva a sérülésmentes használatot.
Előnyök:
A Home AC 19X RCA toldó használata rendkívül egyszerű, nincs szükség semmilyen speciális szerszámra vagy szakértelemre. Csak csatlakoztassa a kívánt kábeleket a toldóhoz, és máris élvezheti a zökkenőmentes hang- és képátvitelt. A kompakt méretnek köszönhetően alig foglal helyet, így bármilyen otthoni vagy professzionális környezetben hasznos eszköz lehet.
Alkalmazási területek:
- Házi szórakoztató rendszerek: Toldja meg az RCA kábeleket, hogy elérje a házimozi rendszer távolabbi eszközeit.
- HiFi rendszerek: Kösse össze hangszóróit és erősítőjét a megfelelő hangélmény érdekében.
- Stúdiótechnika: Kiválóan alkalmas professzionális audió eszközök toldására stúdió környezetben.
Ne hagyja, hogy a kábelhossz korlátozza zenei vagy moziélményét! A Home AC 19X RCA toldóval egyszerűen és hatékonyan bővítheti rendszerét. Szerezze be most, és élvezze a problémamentes csatlakoztatást minden helyzetben!</t>
        </is>
      </c>
    </row>
    <row r="1537">
      <c r="A1537" s="3" t="inlineStr">
        <is>
          <t>AC 19</t>
        </is>
      </c>
      <c r="B1537" s="2" t="inlineStr">
        <is>
          <t>Home AC 19 RCA toldó, monó</t>
        </is>
      </c>
      <c r="C1537" s="1" t="n">
        <v>139.0</v>
      </c>
      <c r="D1537" s="7" t="n">
        <f>HYPERLINK("https://www.somogyi.hu/product/home-ac-19-rca-toldo-mono-ac-19-1701","https://www.somogyi.hu/product/home-ac-19-rca-toldo-mono-ac-19-1701")</f>
        <v>0.0</v>
      </c>
      <c r="E1537" s="7" t="n">
        <f>HYPERLINK("https://www.somogyi.hu/data/img/product_main_images/small/01701.jpg","https://www.somogyi.hu/data/img/product_main_images/small/01701.jpg")</f>
        <v>0.0</v>
      </c>
      <c r="F1537" s="2" t="inlineStr">
        <is>
          <t>5998312700662</t>
        </is>
      </c>
      <c r="G1537" s="4" t="inlineStr">
        <is>
          <t>Hogyan biztosíthatja a stabil csatlakozást audió eszközei között? A Home AC 19 RCA toldó megbízható megoldást kínál, ha két RCA kábel összekapcsolására van szüksége. 
Ez az eszköz két RCA aljzatot köt össze, így monó hangjeleket továbbíthat egyszerűen és hatékonyan. Kiváló választás, ha hosszabb kábelekre van szüksége, vagy különböző audió eszközeit szeretné összekötni anélkül, hogy veszélyeztetné a hangminőséget. Az RCA aljzatok pontos illeszkedést biztosítanak, ezáltal a hangátvitel stabil és zajmentes marad, még nagyobb távolságok esetén is.
Ne elégedjen meg a gyenge csatlakozásokkal – válassza a Home AC 19 RCA toldót, és élvezze a zavartalan audió élményt minden alkalommal!</t>
        </is>
      </c>
    </row>
    <row r="1538">
      <c r="A1538" s="3" t="inlineStr">
        <is>
          <t>AC 17</t>
        </is>
      </c>
      <c r="B1538" s="2" t="inlineStr">
        <is>
          <t>Home AC 17 audió átalakító, elosztó, 3,5mm sztereó dugó, 2 RCA aljzat</t>
        </is>
      </c>
      <c r="C1538" s="1" t="n">
        <v>269.0</v>
      </c>
      <c r="D1538" s="7" t="n">
        <f>HYPERLINK("https://www.somogyi.hu/product/home-ac-17-audio-atalakito-eloszto-3-5mm-sztereo-dugo-2-rca-aljzat-ac-17-1699","https://www.somogyi.hu/product/home-ac-17-audio-atalakito-eloszto-3-5mm-sztereo-dugo-2-rca-aljzat-ac-17-1699")</f>
        <v>0.0</v>
      </c>
      <c r="E1538" s="7" t="n">
        <f>HYPERLINK("https://www.somogyi.hu/data/img/product_main_images/small/01699.jpg","https://www.somogyi.hu/data/img/product_main_images/small/01699.jpg")</f>
        <v>0.0</v>
      </c>
      <c r="F1538" s="2" t="inlineStr">
        <is>
          <t>5998312700648</t>
        </is>
      </c>
      <c r="G1538" s="4" t="inlineStr">
        <is>
          <t>Gondoskodjon róla, hogy mindig felhőtlen élmény legyen a házimozizás! Ezért is keresse a masszív kialakítású RCA átalakítókat a garantált hatás érdekében!
Az AC 17 típus 1 db ∅3,5 mm-es sztereó dugóval és 2 db RCA aljzat-átalakítóval rendelkezik. A terméket strapabíró műanyag borítás védi. Válassza a minőségi termékeket és rendeljen webáruházunkból.</t>
        </is>
      </c>
    </row>
    <row r="1539">
      <c r="A1539" s="3" t="inlineStr">
        <is>
          <t>AC 6X</t>
        </is>
      </c>
      <c r="B1539" s="2" t="inlineStr">
        <is>
          <t>Home AC 6X audió átalakító, 3,5 mm sztereó dugó-2 x 6,3 mm sztereó alj</t>
        </is>
      </c>
      <c r="C1539" s="1" t="n">
        <v>379.0</v>
      </c>
      <c r="D1539" s="7" t="n">
        <f>HYPERLINK("https://www.somogyi.hu/product/home-ac-6x-audio-atalakito-3-5-mm-sztereo-dugo-2-x-6-3-mm-sztereo-alj-ac-6x-2255","https://www.somogyi.hu/product/home-ac-6x-audio-atalakito-3-5-mm-sztereo-dugo-2-x-6-3-mm-sztereo-alj-ac-6x-2255")</f>
        <v>0.0</v>
      </c>
      <c r="E1539" s="7" t="n">
        <f>HYPERLINK("https://www.somogyi.hu/data/img/product_main_images/small/02255.jpg","https://www.somogyi.hu/data/img/product_main_images/small/02255.jpg")</f>
        <v>0.0</v>
      </c>
      <c r="F1539" s="2" t="inlineStr">
        <is>
          <t>5998312725214</t>
        </is>
      </c>
      <c r="G1539" s="4" t="inlineStr">
        <is>
          <t>Hogyan csatlakoztathat egyszerűen különböző audió eszközöket anélkül, hogy a hangminőség romlana? A Home AC 6X audió átalakító ideális választás, ha 3,5 mm-es sztereó csatlakozóval rendelkező eszközeit szeretné két 6,3 mm-es sztereó aljzathoz csatlakoztatni. Ez a praktikus és sokoldalú eszköz lehetővé teszi, hogy zökkenőmentesen csatlakoztassa például fülhallgatóját vagy hordozható lejátszóját professzionális hangberendezésekhez, erősítőkhöz vagy keverőpultokhoz.
Sokoldalú csatlakoztatási lehetőségek
A termék egy 3,5 mm-es sztereó dugót alakít át két 6,3 mm-es sztereó aljzatra, így egyszerre két eszközt is csatlakoztathat egy forráshoz. Ez különösen hasznos, ha zenét szeretne megosztani, vagy több hangszórót kíván egyszerre használni egy hordozható eszközről.
Strapabíró és megbízható kialakítás
A Home AC 6X audió átalakító tartós anyagokból készült, hogy hosszú távon is megbízhatóan működjön. A precíz csatlakozófelületek biztosítják a stabil jelátvitelt, így nem kell aggódnia a hangminőség romlása miatt. Kompakt mérete lehetővé teszi, hogy bárhová magával vigye, a bliszteres csomagolás pedig megvédi a szállítás során.
Kifogástalan hangélmény minden alkalommal
Az átalakító tökéletesen alkalmas arra, hogy tiszta, torzításmentes hangot biztosítson akár stúdiófelvétel, akár otthoni zenehallgatás közben. A stabil csatlakozás és a minimális jelveszteség garantálja a kiváló hangminőséget minden helyzetben.
Miért válassza a Home AC 6X audió átalakítót?
– Lehetővé teszi két eszköz csatlakoztatását egy forráshoz 
– Megbízható és strapabíró kialakítás hosszú távú használatra 
– Stabil, tiszta jelátvitel a tökéletes hangminőség érdekében 
– Kompakt méretének köszönhetően könnyen szállítható 
– Bliszteres csomagolásban érkezik, amely megvédi a terméket
Ne hagyja, hogy a különböző csatlakozók akadályozzák a zenei élményt! Szerezze be a Home AC 6X audió átalakítót, és élvezze a kiváló minőségű hangzást bárhol, bármikor!</t>
        </is>
      </c>
    </row>
    <row r="1540">
      <c r="A1540" s="3" t="inlineStr">
        <is>
          <t>AC 16</t>
        </is>
      </c>
      <c r="B1540" s="2" t="inlineStr">
        <is>
          <t>Home AC 16 audióátalakító, elosztó, 3,5mm sztereó dugó, 2 x 3,5mm sztereó aljzat</t>
        </is>
      </c>
      <c r="C1540" s="1" t="n">
        <v>179.0</v>
      </c>
      <c r="D1540" s="7" t="n">
        <f>HYPERLINK("https://www.somogyi.hu/product/home-ac-16-audioatalakito-eloszto-3-5mm-sztereo-dugo-2-x-3-5mm-sztereo-aljzat-ac-16-1698","https://www.somogyi.hu/product/home-ac-16-audioatalakito-eloszto-3-5mm-sztereo-dugo-2-x-3-5mm-sztereo-aljzat-ac-16-1698")</f>
        <v>0.0</v>
      </c>
      <c r="E1540" s="7" t="n">
        <f>HYPERLINK("https://www.somogyi.hu/data/img/product_main_images/small/01698.jpg","https://www.somogyi.hu/data/img/product_main_images/small/01698.jpg")</f>
        <v>0.0</v>
      </c>
      <c r="F1540" s="2" t="inlineStr">
        <is>
          <t>5998312700631</t>
        </is>
      </c>
      <c r="G1540" s="4" t="inlineStr">
        <is>
          <t>Szüksége van egy megbízható megoldásra, hogy több eszközt csatlakoztasson egyszerre? A Home AC 16 audióátalakító tökéletes választás, ha egyszerű és hatékony módon szeretné bővíteni audioeszközei csatlakozási lehetőségeit. 
Ez az átalakító lehetővé teszi, hogy egy ∅3,5 mm-es sztereó dugó segítségével két különálló ∅3,5 mm-es sztereó eszközt is csatlakoztasson, így például egyszerre használhat két fülhallgatót egyetlen zenei forráshoz. Az átalakító praktikus kialakítása nemcsak helytakarékos, de biztosítja a megbízható hangátvitelt is, hogy ne kelljen kompromisszumot kötnie a hangminőség terén. Ideális megoldás zenehallgatáshoz, filmnézéshez vagy bármilyen audió élmény megosztásához másokkal, legyen szó otthoni vagy utazási környezetről.
Ne hagyja, hogy a korlátozott csatlakozási lehetőségek hátráltassák! Válassza a Home AC 16 audióátalakítót, és élvezze a kényelmet és sokoldalúságot minden helyzetben!</t>
        </is>
      </c>
    </row>
    <row r="1541">
      <c r="A1541" s="6" t="inlineStr">
        <is>
          <t xml:space="preserve">   Audio-video kiegészítők / Audio- és videocsatlakozó</t>
        </is>
      </c>
      <c r="B1541" s="6" t="inlineStr">
        <is>
          <t/>
        </is>
      </c>
      <c r="C1541" s="6" t="inlineStr">
        <is>
          <t/>
        </is>
      </c>
      <c r="D1541" s="6" t="inlineStr">
        <is>
          <t/>
        </is>
      </c>
      <c r="E1541" s="6" t="inlineStr">
        <is>
          <t/>
        </is>
      </c>
      <c r="F1541" s="6" t="inlineStr">
        <is>
          <t/>
        </is>
      </c>
      <c r="G1541" s="6" t="inlineStr">
        <is>
          <t/>
        </is>
      </c>
    </row>
    <row r="1542">
      <c r="A1542" s="3" t="inlineStr">
        <is>
          <t>SK 4M</t>
        </is>
      </c>
      <c r="B1542" s="2" t="inlineStr">
        <is>
          <t>Home SK 4M jack dugó, 3,5mm sztereó lengődugó, fém, törésgátló</t>
        </is>
      </c>
      <c r="C1542" s="1" t="n">
        <v>349.0</v>
      </c>
      <c r="D1542" s="7" t="n">
        <f>HYPERLINK("https://www.somogyi.hu/product/home-sk-4m-jack-dugo-3-5mm-sztereo-lengodugo-fem-toresgatlo-sk-4m-2005","https://www.somogyi.hu/product/home-sk-4m-jack-dugo-3-5mm-sztereo-lengodugo-fem-toresgatlo-sk-4m-2005")</f>
        <v>0.0</v>
      </c>
      <c r="E1542" s="7" t="n">
        <f>HYPERLINK("https://www.somogyi.hu/data/img/product_main_images/small/02005.jpg","https://www.somogyi.hu/data/img/product_main_images/small/02005.jpg")</f>
        <v>0.0</v>
      </c>
      <c r="F1542" s="2" t="inlineStr">
        <is>
          <t>5998312717417</t>
        </is>
      </c>
      <c r="G1542" s="4" t="inlineStr">
        <is>
          <t>Fém kialakítással rendelkező 3,5 mm-es sztereó lengődugó. Az SK 4M típus előnye, hogy törésgátlóval is el lett látva, ennek révén garantált a hosszú élettartam. Válassza a minőségi termékeket és rendeljen webáruházunkból.</t>
        </is>
      </c>
    </row>
    <row r="1543">
      <c r="A1543" s="3" t="inlineStr">
        <is>
          <t>SK 4X</t>
        </is>
      </c>
      <c r="B1543" s="2" t="inlineStr">
        <is>
          <t>Home SK 4X jack dugó, sztereó, 3,5mm, 2 db</t>
        </is>
      </c>
      <c r="C1543" s="1" t="n">
        <v>539.0</v>
      </c>
      <c r="D1543" s="7" t="n">
        <f>HYPERLINK("https://www.somogyi.hu/product/home-sk-4x-jack-dugo-sztereo-3-5mm-2-db-sk-4x-2227","https://www.somogyi.hu/product/home-sk-4x-jack-dugo-sztereo-3-5mm-2-db-sk-4x-2227")</f>
        <v>0.0</v>
      </c>
      <c r="E1543" s="7" t="n">
        <f>HYPERLINK("https://www.somogyi.hu/data/img/product_main_images/small/02227.jpg","https://www.somogyi.hu/data/img/product_main_images/small/02227.jpg")</f>
        <v>0.0</v>
      </c>
      <c r="F1543" s="2" t="inlineStr">
        <is>
          <t>5998312724927</t>
        </is>
      </c>
      <c r="G1543" s="4" t="inlineStr">
        <is>
          <t>Szüksége van egy megbízható sztereó jack dugóra, amelyet könnyedén csatlakoztathat audioeszközeihez?
A Home SK 4X sztereó jack dugó kiváló választás mindazok számára, akik professzionális vagy otthoni audioeszközeikhez keresnek stabil és tartós csatlakozási megoldást. Ez a 3,5 mm-es sztereó dugó ideális különféle audiokábelek javításához vagy egyedi kábelek készítéséhez. A könnyen forrasztható kivitel lehetővé teszi a precíz bekötést, miközben a strapabíró műanyag ház védi a belső alkatrészeket.
Főbb jellemzők:
- Csatlakozó típusa: Ø 3,5 mm-es sztereó jack dugó, amely széles körben kompatibilis fejhallgatókkal, hangszórókkal és egyéb audioeszközökkel
- Ház anyaga: Tartós műanyag ház, amely ellenáll a kopásnak és a sérüléseknek
- Bekötés: Könnyen forrasztható kialakítás, amely biztosítja a stabil csatlakozást és a kiváló hangminőséget
- Sztereó kivitel: Kétcsatornás hangátvitelre alkalmas, így ideális sztereó eszközökhöz
- Csomagolás: 2 db jack dugó bliszteres csomagolásban, amely megvédi a terméket a szállítás során
Miért érdemes a Home SK 4X jack dugót választania?
Legyen szó DIY audioprojektről, meglévő kábelek javításáról vagy új kábelek készítéséről, ez a sztereó jack dugó megbízható és egyszerű megoldást kínál. A strapabíró anyaghasználat és a könnyű forraszthatóság lehetővé teszi a gyors és problémamentes munkavégzést, miközben a kiváló hangminőség garantált. A két darabos kiszerelés pedig gazdaságos választást jelent azoknak, akik több projektet is szeretnének megvalósítani. Válassza a Home SK 4X sztereó jack dugót, és készítsen saját kezűleg megbízható audiokábeleket egyszerűen és gyorsan! Ideális mind kezdők, mind haladó felhasználók számára.</t>
        </is>
      </c>
    </row>
    <row r="1544">
      <c r="A1544" s="3" t="inlineStr">
        <is>
          <t>SK 4</t>
        </is>
      </c>
      <c r="B1544" s="2" t="inlineStr">
        <is>
          <t>Home SK 4 jack dugó, 3,5mm sztereó lengődugó, műanyag, törésgátló</t>
        </is>
      </c>
      <c r="C1544" s="1" t="n">
        <v>219.0</v>
      </c>
      <c r="D1544" s="7" t="n">
        <f>HYPERLINK("https://www.somogyi.hu/product/home-sk-4-jack-dugo-3-5mm-sztereo-lengodugo-muanyag-toresgatlo-sk-4-1866","https://www.somogyi.hu/product/home-sk-4-jack-dugo-3-5mm-sztereo-lengodugo-muanyag-toresgatlo-sk-4-1866")</f>
        <v>0.0</v>
      </c>
      <c r="E1544" s="7" t="n">
        <f>HYPERLINK("https://www.somogyi.hu/data/img/product_main_images/small/01866.jpg","https://www.somogyi.hu/data/img/product_main_images/small/01866.jpg")</f>
        <v>0.0</v>
      </c>
      <c r="F1544" s="2" t="inlineStr">
        <is>
          <t>5998312704127</t>
        </is>
      </c>
      <c r="G1544" s="4" t="inlineStr">
        <is>
          <t>Masszív műanyag kialakítással rendelkező 3,5 mm-es sztereó lengődugó. Az SK 4 típus előnye, hogy törésgátlóval is el lett látva, ennek révén garantált a hosszú élettartam. Válassza a minőségi termékeket és rendeljen webáruházunkból.</t>
        </is>
      </c>
    </row>
    <row r="1545">
      <c r="A1545" s="3" t="inlineStr">
        <is>
          <t>SK 4KX</t>
        </is>
      </c>
      <c r="B1545" s="2" t="inlineStr">
        <is>
          <t>Home SK 4KX jack aljzat, sztereó, lengő, 3,5mm</t>
        </is>
      </c>
      <c r="C1545" s="1" t="n">
        <v>379.0</v>
      </c>
      <c r="D1545" s="7" t="n">
        <f>HYPERLINK("https://www.somogyi.hu/product/home-sk-4kx-jack-aljzat-sztereo-lengo-3-5mm-sk-4kx-2320","https://www.somogyi.hu/product/home-sk-4kx-jack-aljzat-sztereo-lengo-3-5mm-sk-4kx-2320")</f>
        <v>0.0</v>
      </c>
      <c r="E1545" s="7" t="n">
        <f>HYPERLINK("https://www.somogyi.hu/data/img/product_main_images/small/02320.jpg","https://www.somogyi.hu/data/img/product_main_images/small/02320.jpg")</f>
        <v>0.0</v>
      </c>
      <c r="F1545" s="2" t="inlineStr">
        <is>
          <t>5998312725870</t>
        </is>
      </c>
      <c r="G1545" s="4" t="inlineStr">
        <is>
          <t>Olyan sztereó jack aljzatot keres, amely megbízható csatlakozást biztosít különböző audioeszközeihez?
A Home SK 4KX sztereó jack aljzat ideális megoldás, ha professzionális vagy otthoni audioeszközöket szeretne összekötni, és fontos a stabil jelátvitel. Ez a 3,5 mm-es forrasztható csatlakozó kiváló választás DIY projektekhez, javításokhoz vagy egyedi audiokábelek készítéséhez. A sztereó kivitel lehetővé teszi a kétcsatornás hang továbbítását, miközben a masszív műanyag ház védi a belső részeket.
Főbb jellemzők:
- Csatlakozó: Ø 3,5 mm-es sztereó jack aljzat, amely széles körben használható különféle audioeszközökkel
- Ház anyaga: Tartós műanyag borítás, amely védi a belső alkatrészeket a sérülésektől
- Bekötés: Könnyen forrasztható kialakítás, amely biztosítja a megbízható és tartós csatlakozást
- Sztereó kivitel: Kétcsatornás hangátvitelre alkalmas, így tökéletesen használható fejhallgatókhoz, hangszórókhoz és egyéb sztereó eszközökhöz
- Bliszteres csomagolás: A csomagolás megóvja a terméket a sérülésektől szállítás közben, így Ön mindig hibátlan állapotban kapja kézhez
Miért érdemes ezt a jack aljzatot választania?
A Home SK 4KX sztereó jack aljzat egyszerűen használható és megbízható megoldást kínál különféle audioeszközök összekötéséhez vagy javításához. Ideális választás azok számára, akik saját kezűleg szeretnék elkészíteni vagy megjavítani audiokábeleiket, miközben a kiváló minőségű anyagok hosszú élettartamot garantálnak.
Válassza a Home SK 4KX sztereó jack aljzatot, és élvezze a tiszta hangzást, valamint a könnyű telepítést! Ideális minden olyan felhasználónak, aki megbízható és strapabíró csatlakozót keres audioeszközeihez.</t>
        </is>
      </c>
    </row>
    <row r="1546">
      <c r="A1546" s="3" t="inlineStr">
        <is>
          <t>SK 4K</t>
        </is>
      </c>
      <c r="B1546" s="2" t="inlineStr">
        <is>
          <t>Home SK 4K jack aljzat, 3,5mm sztereó lengőaljzat, műanyag, törésgátló</t>
        </is>
      </c>
      <c r="C1546" s="1" t="n">
        <v>279.0</v>
      </c>
      <c r="D1546" s="7" t="n">
        <f>HYPERLINK("https://www.somogyi.hu/product/home-sk-4k-jack-aljzat-3-5mm-sztereo-lengoaljzat-muanyag-toresgatlo-sk-4k-1868","https://www.somogyi.hu/product/home-sk-4k-jack-aljzat-3-5mm-sztereo-lengoaljzat-muanyag-toresgatlo-sk-4k-1868")</f>
        <v>0.0</v>
      </c>
      <c r="E1546" s="7" t="n">
        <f>HYPERLINK("https://www.somogyi.hu/data/img/product_main_images/small/01868.jpg","https://www.somogyi.hu/data/img/product_main_images/small/01868.jpg")</f>
        <v>0.0</v>
      </c>
      <c r="F1546" s="2" t="inlineStr">
        <is>
          <t>5998312704141</t>
        </is>
      </c>
      <c r="G1546" s="4" t="inlineStr">
        <is>
          <t>Masszív műanyag kialakítással rendelkező 3,5 mm-es szteró lengőaljzat. Az SK 4K típus előnye, hogy törésgátlóval is el lett látva, ennek révén garantált a hosszú élettartam. Válassza a minőségi termékeket és rendeljen webáruházunkból.</t>
        </is>
      </c>
    </row>
    <row r="1547">
      <c r="A1547" s="3" t="inlineStr">
        <is>
          <t>SK 2M</t>
        </is>
      </c>
      <c r="B1547" s="2" t="inlineStr">
        <is>
          <t>Home SK 2M jack dugó, 6,3mm monó lengődugó, fém, törésgátló</t>
        </is>
      </c>
      <c r="C1547" s="1" t="n">
        <v>369.0</v>
      </c>
      <c r="D1547" s="7" t="n">
        <f>HYPERLINK("https://www.somogyi.hu/product/home-sk-2m-jack-dugo-6-3mm-mono-lengodugo-fem-toresgatlo-sk-2m-1861","https://www.somogyi.hu/product/home-sk-2m-jack-dugo-6-3mm-mono-lengodugo-fem-toresgatlo-sk-2m-1861")</f>
        <v>0.0</v>
      </c>
      <c r="E1547" s="7" t="n">
        <f>HYPERLINK("https://www.somogyi.hu/data/img/product_main_images/small/01861.jpg","https://www.somogyi.hu/data/img/product_main_images/small/01861.jpg")</f>
        <v>0.0</v>
      </c>
      <c r="F1547" s="2" t="inlineStr">
        <is>
          <t>5998312704073</t>
        </is>
      </c>
      <c r="G1547" s="4" t="inlineStr">
        <is>
          <t>Megbízható kialakítással rendelkező monó lengődugót keres? Ez esetben a fémből készült ∅6,3 mm-es SK 2M garantáltan ideális választás! A termék előnye továbbá, hogy törésgátlóval is el lett látva, amelynek köszönhetően garantált a hosszú élettartam. Válassza a minőségi termékeket és rendeljen webáruházunkból.</t>
        </is>
      </c>
    </row>
    <row r="1548">
      <c r="A1548" s="3" t="inlineStr">
        <is>
          <t>SK 3M</t>
        </is>
      </c>
      <c r="B1548" s="2" t="inlineStr">
        <is>
          <t>Home SK 3M jack dugó, 6,3mm sztereó lengődugó, fém, törésgátló</t>
        </is>
      </c>
      <c r="C1548" s="1" t="n">
        <v>419.0</v>
      </c>
      <c r="D1548" s="7" t="n">
        <f>HYPERLINK("https://www.somogyi.hu/product/home-sk-3m-jack-dugo-6-3mm-sztereo-lengodugo-fem-toresgatlo-sk-3m-1865","https://www.somogyi.hu/product/home-sk-3m-jack-dugo-6-3mm-sztereo-lengodugo-fem-toresgatlo-sk-3m-1865")</f>
        <v>0.0</v>
      </c>
      <c r="E1548" s="7" t="n">
        <f>HYPERLINK("https://www.somogyi.hu/data/img/product_main_images/small/01865.jpg","https://www.somogyi.hu/data/img/product_main_images/small/01865.jpg")</f>
        <v>0.0</v>
      </c>
      <c r="F1548" s="2" t="inlineStr">
        <is>
          <t>5998312704110</t>
        </is>
      </c>
      <c r="G1548" s="4" t="inlineStr">
        <is>
          <t>Rendkívül masszív és praktikus kialakítással bíró sztereó lengő dugót szeretne vásárolni? Ez esetben keresve sem találhat ideálisabbat, mint az SK 3M. A termék fém kialakítással rendelkezik, valamint törésgátlóval is el lett látva, amelynek köszönhetően garantált a hosszú élettartam. Válassza a minőségi termékeket és rendeljen webáruházunkból.</t>
        </is>
      </c>
    </row>
    <row r="1549">
      <c r="A1549" s="3" t="inlineStr">
        <is>
          <t>RCA 11MF</t>
        </is>
      </c>
      <c r="B1549" s="2" t="inlineStr">
        <is>
          <t>Home RCA 11MF RCA dugó pár, fém, aranyozott, törésgátló, fehér és piros</t>
        </is>
      </c>
      <c r="C1549" s="1" t="n">
        <v>709.0</v>
      </c>
      <c r="D1549" s="7" t="n">
        <f>HYPERLINK("https://www.somogyi.hu/product/home-rca-11mf-rca-dugo-par-fem-aranyozott-toresgatlo-feher-es-piros-rca-11mf-2355","https://www.somogyi.hu/product/home-rca-11mf-rca-dugo-par-fem-aranyozott-toresgatlo-feher-es-piros-rca-11mf-2355")</f>
        <v>0.0</v>
      </c>
      <c r="E1549" s="7" t="n">
        <f>HYPERLINK("https://www.somogyi.hu/data/img/product_main_images/small/02355.jpg","https://www.somogyi.hu/data/img/product_main_images/small/02355.jpg")</f>
        <v>0.0</v>
      </c>
      <c r="F1549" s="2" t="inlineStr">
        <is>
          <t>5998312726600</t>
        </is>
      </c>
      <c r="G1549" s="4" t="inlineStr">
        <is>
          <t>Keresse Ön is a megbízható, minőségi RCA lengődugókat! Az RCA 11MF aranyozott kialakítással rendelkezik! A termék 1 db fehér, valamint 1 db piros jelzésű dugóból áll. Előnye, hogy törésgátlóval is el lett látva, ennek köszönhetően garantált a hosszú élettartam. Válassza a minőségi termékeket és rendeljen webáruházunkból.
A termék csak párban rendelhető. A megadott ár darabra értendő.</t>
        </is>
      </c>
    </row>
    <row r="1550">
      <c r="A1550" s="6" t="inlineStr">
        <is>
          <t xml:space="preserve">   Audio-video kiegészítők / Audiokábel</t>
        </is>
      </c>
      <c r="B1550" s="6" t="inlineStr">
        <is>
          <t/>
        </is>
      </c>
      <c r="C1550" s="6" t="inlineStr">
        <is>
          <t/>
        </is>
      </c>
      <c r="D1550" s="6" t="inlineStr">
        <is>
          <t/>
        </is>
      </c>
      <c r="E1550" s="6" t="inlineStr">
        <is>
          <t/>
        </is>
      </c>
      <c r="F1550" s="6" t="inlineStr">
        <is>
          <t/>
        </is>
      </c>
      <c r="G1550" s="6" t="inlineStr">
        <is>
          <t/>
        </is>
      </c>
    </row>
    <row r="1551">
      <c r="A1551" s="3" t="inlineStr">
        <is>
          <t>KN 6</t>
        </is>
      </c>
      <c r="B1551" s="2" t="inlineStr">
        <is>
          <t>SAL KN 6 árnyékolt vezeték, 2 ér, 0,08 mm2, fekete, 100 m/ tekercs</t>
        </is>
      </c>
      <c r="C1551" s="1" t="n">
        <v>229.0</v>
      </c>
      <c r="D1551" s="7" t="n">
        <f>HYPERLINK("https://www.somogyi.hu/product/sal-kn-6-arnyekolt-vezetek-2-er-0-08-mm2-fekete-100-m-tekercs-kn-6-1802","https://www.somogyi.hu/product/sal-kn-6-arnyekolt-vezetek-2-er-0-08-mm2-fekete-100-m-tekercs-kn-6-1802")</f>
        <v>0.0</v>
      </c>
      <c r="E1551" s="7" t="n">
        <f>HYPERLINK("https://www.somogyi.hu/data/img/product_main_images/small/01802.jpg","https://www.somogyi.hu/data/img/product_main_images/small/01802.jpg")</f>
        <v>0.0</v>
      </c>
      <c r="F1551" s="2" t="inlineStr">
        <is>
          <t>5998312702895</t>
        </is>
      </c>
      <c r="G1551" s="4" t="inlineStr">
        <is>
          <t>Keresse a masszív, megbízható kialakítással rendelkező vezetékeket!
A KN 6 lapos, fekete színű 2 eres árnyékolt (erenként) vezeték, amelynek mérete: 2 x 0,08 mm², külső átmérője: 2,8 x 5,6 mm. Egy tekercs 100 méter hosszúságú. Válassza a minőségi termékeket és rendeljen webáruházunkból.</t>
        </is>
      </c>
    </row>
    <row r="1552">
      <c r="A1552" s="3" t="inlineStr">
        <is>
          <t>MC 625/BK</t>
        </is>
      </c>
      <c r="B1552" s="2" t="inlineStr">
        <is>
          <t>SAL MC 625/BK mikrofonkábel, 2 ér, 0,35 mm2, fekete, 50 m/ tekercs</t>
        </is>
      </c>
      <c r="C1552" s="1" t="n">
        <v>649.0</v>
      </c>
      <c r="D1552" s="7" t="n">
        <f>HYPERLINK("https://www.somogyi.hu/product/sal-mc-625-bk-mikrofonkabel-2-er-0-35-mm2-fekete-50-m-tekercs-mc-625-bk-2591","https://www.somogyi.hu/product/sal-mc-625-bk-mikrofonkabel-2-er-0-35-mm2-fekete-50-m-tekercs-mc-625-bk-2591")</f>
        <v>0.0</v>
      </c>
      <c r="E1552" s="7" t="n">
        <f>HYPERLINK("https://www.somogyi.hu/data/img/product_main_images/small/02591.jpg","https://www.somogyi.hu/data/img/product_main_images/small/02591.jpg")</f>
        <v>0.0</v>
      </c>
      <c r="F1552" s="2" t="inlineStr">
        <is>
          <t>5998312729052</t>
        </is>
      </c>
      <c r="G1552" s="4" t="inlineStr">
        <is>
          <t>Keresse a masszív, megbízható kialakítással rendelkező csatlakozókábeleket!
Az MC 625/BK kerek, fekete színű 2 eres árnyékolt mikrofonkábel. Mérete: 2 x 0,35 mm². Külső átmérője: 6,2 mm. Egy tekercs 50 méter hosszúságú. Válassza a minőségi termékeket és rendeljen webáruházunkból.</t>
        </is>
      </c>
    </row>
    <row r="1553">
      <c r="A1553" s="3" t="inlineStr">
        <is>
          <t>KN 4</t>
        </is>
      </c>
      <c r="B1553" s="2" t="inlineStr">
        <is>
          <t>SAL KN 4 árnyékolt vezeték, 1 ér, 0,14 mm2, fekete, 100 m/ tekercs</t>
        </is>
      </c>
      <c r="C1553" s="1" t="n">
        <v>129.0</v>
      </c>
      <c r="D1553" s="7" t="n">
        <f>HYPERLINK("https://www.somogyi.hu/product/sal-kn-4-arnyekolt-vezetek-1-er-0-14-mm2-fekete-100-m-tekercs-kn-4-1801","https://www.somogyi.hu/product/sal-kn-4-arnyekolt-vezetek-1-er-0-14-mm2-fekete-100-m-tekercs-kn-4-1801")</f>
        <v>0.0</v>
      </c>
      <c r="E1553" s="7" t="n">
        <f>HYPERLINK("https://www.somogyi.hu/data/img/product_main_images/small/01801.jpg","https://www.somogyi.hu/data/img/product_main_images/small/01801.jpg")</f>
        <v>0.0</v>
      </c>
      <c r="F1553" s="2" t="inlineStr">
        <is>
          <t>5998312702888</t>
        </is>
      </c>
      <c r="G1553" s="4" t="inlineStr">
        <is>
          <t>Keresse a masszív, megbízható kialakítással rendelkező vezetékeket!
A KN 4 kerek, fekete színű 1 eres árnyékolt vezeték, amelynek mérete: 1 x 0,14 mm², külső átmérője: 2,8 mm. Egy tekercs 100 méter hosszúságú. Válassza a minőségi termékeket és rendeljen webáruházunkból.</t>
        </is>
      </c>
    </row>
    <row r="1554">
      <c r="A1554" s="6" t="inlineStr">
        <is>
          <t xml:space="preserve">   Audio-video kiegészítők / Koaxiális kábel</t>
        </is>
      </c>
      <c r="B1554" s="6" t="inlineStr">
        <is>
          <t/>
        </is>
      </c>
      <c r="C1554" s="6" t="inlineStr">
        <is>
          <t/>
        </is>
      </c>
      <c r="D1554" s="6" t="inlineStr">
        <is>
          <t/>
        </is>
      </c>
      <c r="E1554" s="6" t="inlineStr">
        <is>
          <t/>
        </is>
      </c>
      <c r="F1554" s="6" t="inlineStr">
        <is>
          <t/>
        </is>
      </c>
      <c r="G1554" s="6" t="inlineStr">
        <is>
          <t/>
        </is>
      </c>
    </row>
    <row r="1555">
      <c r="A1555" s="3" t="inlineStr">
        <is>
          <t>RG 6-32/BK</t>
        </is>
      </c>
      <c r="B1555" s="2" t="inlineStr">
        <is>
          <t>Home RG 6-32/BK koax kábel, 75 Ohm, PVC és PE szigetelés, réz ér, 32 szál rézharisnya, alumínium + PET fólia, 100m, fekete</t>
        </is>
      </c>
      <c r="C1555" s="1" t="n">
        <v>249.0</v>
      </c>
      <c r="D1555" s="7" t="n">
        <f>HYPERLINK("https://www.somogyi.hu/product/home-rg-6-32-bk-koax-kabel-75-ohm-pvc-es-pe-szigeteles-rez-er-32-szal-rezharisnya-aluminium-pet-folia-100m-fekete-rg-6-32-bk-2330","https://www.somogyi.hu/product/home-rg-6-32-bk-koax-kabel-75-ohm-pvc-es-pe-szigeteles-rez-er-32-szal-rezharisnya-aluminium-pet-folia-100m-fekete-rg-6-32-bk-2330")</f>
        <v>0.0</v>
      </c>
      <c r="E1555" s="7" t="n">
        <f>HYPERLINK("https://www.somogyi.hu/data/img/product_main_images/small/02330.jpg","https://www.somogyi.hu/data/img/product_main_images/small/02330.jpg")</f>
        <v>0.0</v>
      </c>
      <c r="F1555" s="2" t="inlineStr">
        <is>
          <t>5998312726181</t>
        </is>
      </c>
      <c r="G1555" s="4" t="inlineStr">
        <is>
          <t>Szeretné javítani otthoni televíziójának vagy rádiójának jelminőségét egy megbízható koax kábellel? A Home RG 6-32/BK koax kábel ideális megoldás minden otthoni vagy professzionális telepítéshez, ahol fontos a kiváló jelátvitel és a tartósság.
Ez a koax kábel 75 Ω impedanciával rendelkezik, ami garantálja az optimális jelátvitelt. A kábel átmérője 6,5 mm, és erős PVC szigeteléssel van ellátva, amely védi a kábelt a külső hatásoktól és növeli az élettartamát. Az ∅0,12 mm x 32 szál rézharisnya és az alumínium + PET fólia kiváló árnyékolást biztosít, ami minimálisra csökkenti a külső zavarok hatását és stabil jelet eredményez.
A belső rész ∅4,6 mm habosított PE szigeteléssel van ellátva, ami még jobb jeltovábbítást biztosít. A belső ér ∅0,9 mm tiszta rézből készült, ami kiváló vezetőképességet biztosít a megbízható és erős jelátvitel érdekében. A kábel fekete színű, ami diszkrét megjelenést kölcsönöz, és könnyen illeszkedik bármilyen környezetbe. A Home RG 6-32/BK koax kábel 100 méteres tekercsben kapható, ami elegendő hosszúságot biztosít akár nagyobb projektekhez is.
Válassza a Home RG 6-32/BK koax kábelt, és élvezze a zavartalan, kiváló minőségű jelátvitelt minden nap!</t>
        </is>
      </c>
    </row>
    <row r="1556">
      <c r="A1556" s="3" t="inlineStr">
        <is>
          <t>RG 6U-500/WH</t>
        </is>
      </c>
      <c r="B1556" s="2" t="inlineStr">
        <is>
          <t>Home RG 6U-500/WH koax kábel, 75 Ohm, PVC és PE szigetelés, réz bevonatú acél ér, 48 szál rézharisnya, alumínium + PET fólia, 500m, fehér</t>
        </is>
      </c>
      <c r="C1556" s="1" t="n">
        <v>52390.0</v>
      </c>
      <c r="D1556" s="7" t="n">
        <f>HYPERLINK("https://www.somogyi.hu/product/home-rg-6u-500-wh-koax-kabel-75-ohm-pvc-es-pe-szigeteles-rez-bevonatu-acel-er-48-szal-rezharisnya-aluminium-pet-folia-500m-feher-rg-6u-500-wh-4220","https://www.somogyi.hu/product/home-rg-6u-500-wh-koax-kabel-75-ohm-pvc-es-pe-szigeteles-rez-bevonatu-acel-er-48-szal-rezharisnya-aluminium-pet-folia-500m-feher-rg-6u-500-wh-4220")</f>
        <v>0.0</v>
      </c>
      <c r="E1556" s="7" t="n">
        <f>HYPERLINK("https://www.somogyi.hu/data/img/product_main_images/small/04220.jpg","https://www.somogyi.hu/data/img/product_main_images/small/04220.jpg")</f>
        <v>0.0</v>
      </c>
      <c r="F1556" s="2" t="inlineStr">
        <is>
          <t>5998312737378</t>
        </is>
      </c>
      <c r="G1556" s="4" t="inlineStr">
        <is>
          <t>Megbízható koax kábelt keres, amely biztosítja a kiváló jelátvitelt és tartósságot? A Home RG 6U-500/WH koax kábel ideális választás, ha minőségi televíziós vagy rádiós jelátvitelre vágyik.
Ez a koax kábel 75 Ω impedanciával rendelkezik, amely optimális jelátvitelt biztosít. A kábel átmérője 6,9 mm, és tartós PVC szigeteléssel van ellátva, ami hosszú élettartamot garantál. Az ∅0,12 mm x 48 szál aluharisnya és az alumínium + PET fólia további védelmet nyújt a külső elektromos zavarok ellen, így a jel mindig tiszta és stabil marad.
A kábel belső része ∅4,6 mm habosított PE szigeteléssel van ellátva, ami még jobb jeltovábbítást eredményez. A belső ér ∅1,0 mm réz bevonatú acélból készült, ami biztosítja a kiváló vezetőképességet és a mechanikai stabilitást. A fehér szín elegáns megjelenést kölcsönöz, és könnyen illeszkedik bármilyen környezetbe.
A Home RG 6U-500/WH koax kábel 500 méteres tekercsben kapható, így bőséges mennyiséget biztosít nagyobb projektekhez is.
Ne hagyja ki ezt a lehetőséget, válassza a Home RG 6U-500/WH koax kábelt, és élvezze a zavartalan és kiváló minőségű jelátvitelt minden nap!</t>
        </is>
      </c>
    </row>
    <row r="1557">
      <c r="A1557" s="3" t="inlineStr">
        <is>
          <t>S 6TSV/BK</t>
        </is>
      </c>
      <c r="B1557" s="2" t="inlineStr">
        <is>
          <t>Home S 6TSV/BK koax kábel, 75 Ohm, PVC és PE szigetelés, réz bevonatú acél ér, alumínium + PET fólia 96 szál aluharisnya, 305m, fekete</t>
        </is>
      </c>
      <c r="C1557" s="1" t="n">
        <v>36390.0</v>
      </c>
      <c r="D1557" s="7" t="n">
        <f>HYPERLINK("https://www.somogyi.hu/product/home-s-6tsv-bk-koax-kabel-75-ohm-pvc-es-pe-szigeteles-rez-bevonatu-acel-er-aluminium-pet-folia-96-szal-aluharisnya-305m-fekete-s-6tsv-bk-2879","https://www.somogyi.hu/product/home-s-6tsv-bk-koax-kabel-75-ohm-pvc-es-pe-szigeteles-rez-bevonatu-acel-er-aluminium-pet-folia-96-szal-aluharisnya-305m-fekete-s-6tsv-bk-2879")</f>
        <v>0.0</v>
      </c>
      <c r="E1557" s="7" t="n">
        <f>HYPERLINK("https://www.somogyi.hu/data/img/product_main_images/small/02879.jpg","https://www.somogyi.hu/data/img/product_main_images/small/02879.jpg")</f>
        <v>0.0</v>
      </c>
      <c r="F1557" s="2" t="inlineStr">
        <is>
          <t>5998312732038</t>
        </is>
      </c>
      <c r="G1557" s="4" t="inlineStr">
        <is>
          <t>Szeretné biztosítani otthoni vagy irodai rendszereinek kifogástalan jelátvitelét egy kiváló minőségű koax kábellel? A Home S 6TSV/BK koax kábel tökéletes választás, ha megbízható és tartós megoldásra van szüksége.
Ez a koax kábel 75 Ω impedanciával rendelkezik, amely garantálja az optimális jelátvitelt és a kiváló teljesítményt. A kábel átmérője 7,06 mm, és tartós PVC szigeteléssel van ellátva, ami hosszú élettartamot biztosít még a legkeményebb körülmények között is. Az alumínium + PET fólia és a ∅0,12 mm x 96 szál aluharisnya kombinációja kiváló árnyékolást nyújt, minimálisra csökkentve a külső zavarok hatását és stabil, tiszta jelet biztosítva.
A belső rész ∅4,6 mm habosított PE szigeteléssel rendelkezik, amely tovább javítja a jeltovábbítás minőségét. A belső ér ∅1,02 mm réz bevonatú acélból készült, amely biztosítja a kiváló vezetőképességet és a megbízható jelátvitelt. A kábel fekete színű, amely diszkrét és professzionális megjelenést kölcsönöz, tökéletesen illeszkedve bármilyen környezetbe.
A Home S 6TSV/BK koax kábel 305 méter hosszúságban kapható, ami elegendő hosszúságot biztosít még a legnagyobb projektekhez is.
Ne hagyja ki ezt a lehetőséget, válassza a Home S 6TSV/BK koax kábelt, és élvezze a zavartalan, kiváló minőségű jelátvitelt minden nap!</t>
        </is>
      </c>
    </row>
    <row r="1558">
      <c r="A1558" s="3" t="inlineStr">
        <is>
          <t>RG 6-32/WH</t>
        </is>
      </c>
      <c r="B1558" s="2" t="inlineStr">
        <is>
          <t>Home RG 6-32/WH koax kábel, 75 Ohm, PVC és PE szigetelés, réz ér, 32 szál rézharisnya, alumínium + PET fólia, 100m, fehér</t>
        </is>
      </c>
      <c r="C1558" s="1" t="n">
        <v>249.0</v>
      </c>
      <c r="D1558" s="7" t="n">
        <f>HYPERLINK("https://www.somogyi.hu/product/home-rg-6-32-wh-koax-kabel-75-ohm-pvc-es-pe-szigeteles-rez-er-32-szal-rezharisnya-aluminium-pet-folia-100m-feher-rg-6-32-wh-2329","https://www.somogyi.hu/product/home-rg-6-32-wh-koax-kabel-75-ohm-pvc-es-pe-szigeteles-rez-er-32-szal-rezharisnya-aluminium-pet-folia-100m-feher-rg-6-32-wh-2329")</f>
        <v>0.0</v>
      </c>
      <c r="E1558" s="7" t="n">
        <f>HYPERLINK("https://www.somogyi.hu/data/img/product_main_images/small/02329.jpg","https://www.somogyi.hu/data/img/product_main_images/small/02329.jpg")</f>
        <v>0.0</v>
      </c>
      <c r="F1558" s="2" t="inlineStr">
        <is>
          <t>5998312726167</t>
        </is>
      </c>
      <c r="G1558" s="4" t="inlineStr">
        <is>
          <t>Szeretné javítani otthoni televíziójának vagy rádiójának jelminőségét egy megbízható koax kábellel? A Home RG 6-32/WH koax kábel ideális megoldás minden otthoni vagy professzionális telepítéshez, ahol fontos a kiváló jelátvitel és a tartósság.
Ez a koax kábel 75 Ω impedanciával rendelkezik, ami garantálja az optimális jelátvitelt. A kábel átmérője 6,5 mm, és erős PVC szigeteléssel van ellátva, amely védi a kábelt a külső hatásoktól és növeli az élettartamát. Az ∅0,12 mm x 32 szál rézharisnya és az alumínium + PET fólia kiváló árnyékolást biztosít, ami minimálisra csökkenti a külső zavarok hatását és stabil jelet eredményez.
A belső rész ∅4,6 mm habosított PE szigeteléssel van ellátva, ami még jobb jeltovábbítást biztosít. A belső ér ∅0,9 mm tiszta rézből készült, ami kiváló vezetőképességet biztosít a megbízható és erős jelátvitel érdekében. A kábel fehér színű, ami diszkrét megjelenést kölcsönöz, és könnyen illeszkedik bármilyen környezetbe. A Home RG 6-32/WH koax kábel 100 méteres tekercsben kapható, ami elegendő hosszúságot biztosít akár nagyobb projektekhez is.
Válassza a Home RG 6-32/WH koax kábelt, és élvezze a zavartalan, kiváló minőségű jelátvitelt minden nap!</t>
        </is>
      </c>
    </row>
    <row r="1559">
      <c r="A1559" s="3" t="inlineStr">
        <is>
          <t>S 6TSV/WH</t>
        </is>
      </c>
      <c r="B1559" s="2" t="inlineStr">
        <is>
          <t>Home S 6TSV/WH koax kábel, 75 Ohm, PVC és PE szigetelés, réz bevonatú acél ér, alumínium + PET fólia 96 szál aluharisnya, 305m, fehér</t>
        </is>
      </c>
      <c r="C1559" s="1" t="n">
        <v>36390.0</v>
      </c>
      <c r="D1559" s="7" t="n">
        <f>HYPERLINK("https://www.somogyi.hu/product/home-s-6tsv-wh-koax-kabel-75-ohm-pvc-es-pe-szigeteles-rez-bevonatu-acel-er-aluminium-pet-folia-96-szal-aluharisnya-305m-feher-s-6tsv-wh-3115","https://www.somogyi.hu/product/home-s-6tsv-wh-koax-kabel-75-ohm-pvc-es-pe-szigeteles-rez-bevonatu-acel-er-aluminium-pet-folia-96-szal-aluharisnya-305m-feher-s-6tsv-wh-3115")</f>
        <v>0.0</v>
      </c>
      <c r="E1559" s="7" t="n">
        <f>HYPERLINK("https://www.somogyi.hu/data/img/product_main_images/small/03115.jpg","https://www.somogyi.hu/data/img/product_main_images/small/03115.jpg")</f>
        <v>0.0</v>
      </c>
      <c r="F1559" s="2" t="inlineStr">
        <is>
          <t>5998312734391</t>
        </is>
      </c>
      <c r="G1559" s="4" t="inlineStr">
        <is>
          <t>Szeretné biztosítani otthoni vagy irodai rendszereinek kifogástalan jelátvitelét egy kiváló minőségű koax kábellel? A Home S 6TSV/WH koax kábel tökéletes választás, ha megbízható és tartós megoldásra van szüksége.
Ez a koax kábel 75 Ω impedanciával rendelkezik, amely garantálja az optimális jelátvitelt és a kiváló teljesítményt. A kábel átmérője 7,06 mm, és tartós PVC szigeteléssel van ellátva, ami hosszú élettartamot biztosít még a legkeményebb körülmények között is. Az alumínium + PET fólia és a ∅0,12 mm x 96 szál aluharisnya kombinációja kiváló árnyékolást nyújt, minimálisra csökkentve a külső zavarok hatását és stabil, tiszta jelet biztosítva.
A belső rész ∅4,6 mm habosított PE szigeteléssel rendelkezik, amely tovább javítja a jeltovábbítás minőségét. A belső ér ∅1,02 mm réz bevonatú acélból készült, amely biztosítja a kiváló vezetőképességet és a megbízható jelátvitelt. A kábel fehér színű, amely diszkrét és professzionális megjelenést kölcsönöz, tökéletesen illeszkedve bármilyen környezetbe.
A Home S 6TSV/WH koax kábel 305 méter hosszúságban kapható, ami elegendő hosszúságot biztosít még a legnagyobb projektekhez is.
Ne hagyja ki ezt a lehetőséget, válassza a Home S 6TSV/WH koax kábelt, és élvezze a zavartalan, kiváló minőségű jelátvitelt minden nap!</t>
        </is>
      </c>
    </row>
    <row r="1560">
      <c r="A1560" s="3" t="inlineStr">
        <is>
          <t>S 6TSP/WH</t>
        </is>
      </c>
      <c r="B1560" s="2" t="inlineStr">
        <is>
          <t>Home S 6TSP/WH koax kábel, 75 Ohm, PVC és PE szigetelés, réz bevonatú acél ér, alumínium + PET fólia 96 szál aluharisnya, 100m, fehér</t>
        </is>
      </c>
      <c r="C1560" s="1" t="n">
        <v>13190.0</v>
      </c>
      <c r="D1560" s="7" t="n">
        <f>HYPERLINK("https://www.somogyi.hu/product/home-s-6tsp-wh-koax-kabel-75-ohm-pvc-es-pe-szigeteles-rez-bevonatu-acel-er-aluminium-pet-folia-96-szal-aluharisnya-100m-feher-s-6tsp-wh-11827","https://www.somogyi.hu/product/home-s-6tsp-wh-koax-kabel-75-ohm-pvc-es-pe-szigeteles-rez-bevonatu-acel-er-aluminium-pet-folia-96-szal-aluharisnya-100m-feher-s-6tsp-wh-11827")</f>
        <v>0.0</v>
      </c>
      <c r="E1560" s="7" t="n">
        <f>HYPERLINK("https://www.somogyi.hu/data/img/product_main_images/small/11827.jpg","https://www.somogyi.hu/data/img/product_main_images/small/11827.jpg")</f>
        <v>0.0</v>
      </c>
      <c r="F1560" s="2" t="inlineStr">
        <is>
          <t>5999084900397</t>
        </is>
      </c>
      <c r="G1560" s="4" t="inlineStr">
        <is>
          <t>Professzionális kialakítású kültéri koax kábel, amely 75 Ω impedanciával, valamint 1,02 mm réz bevonatú acél belső érrel rendelkezik. A kábel háromszoros árnyékolású (80 % -os). Az S 6TSV/WH fehér színben, 100 m/ tekercsben kapható. Válassza a minőségi termékeket és rendeljen webáruházunkból.</t>
        </is>
      </c>
    </row>
    <row r="1561">
      <c r="A1561" s="3" t="inlineStr">
        <is>
          <t>RG 6U/WH</t>
        </is>
      </c>
      <c r="B1561" s="2" t="inlineStr">
        <is>
          <t>Home RG 6U/WH koax kábel, 75 Ohm, PVC és PE szigetelés, réz bevonatú acél ér, 48 szál rézharisnya, alumínium + PET fólia, 100m, fehér</t>
        </is>
      </c>
      <c r="C1561" s="1" t="n">
        <v>99.0</v>
      </c>
      <c r="D1561" s="7" t="n">
        <f>HYPERLINK("https://www.somogyi.hu/product/home-rg-6u-wh-koax-kabel-75-ohm-pvc-es-pe-szigeteles-rez-bevonatu-acel-er-48-szal-rezharisnya-aluminium-pet-folia-100m-feher-rg-6u-wh-3006","https://www.somogyi.hu/product/home-rg-6u-wh-koax-kabel-75-ohm-pvc-es-pe-szigeteles-rez-bevonatu-acel-er-48-szal-rezharisnya-aluminium-pet-folia-100m-feher-rg-6u-wh-3006")</f>
        <v>0.0</v>
      </c>
      <c r="E1561" s="7" t="n">
        <f>HYPERLINK("https://www.somogyi.hu/data/img/product_main_images/small/03006.jpg","https://www.somogyi.hu/data/img/product_main_images/small/03006.jpg")</f>
        <v>0.0</v>
      </c>
      <c r="F1561" s="2" t="inlineStr">
        <is>
          <t>5998312733301</t>
        </is>
      </c>
      <c r="G1561" s="4" t="inlineStr">
        <is>
          <t>Megbízható koax kábelt keres, amely biztosítja a kiváló jelátvitelt és tartósságot? A Home RG 6U/WH koax kábel ideális választás, ha minőségi televíziós vagy rádiós jelátvitelre vágyik.
Ez a koax kábel 75 Ω impedanciával rendelkezik, amely optimális jelátvitelt biztosít. A kábel átmérője 6,9 mm, és tartós PVC szigeteléssel van ellátva, ami hosszú élettartamot garantál. Az ∅0,12 mm x 48 szál aluharisnya és az alumínium + PET fólia további védelmet nyújt a külső elektromos zavarok ellen, így a jel mindig tiszta és stabil marad.
A kábel belső része ∅4,6 mm habosított PE szigeteléssel van ellátva, ami még jobb jeltovábbítást eredményez. A belső ér ∅1,0 mm réz bevonatú acélból készült, ami biztosítja a kiváló vezetőképességet és a mechanikai stabilitást. A fehér szín elegáns megjelenést kölcsönöz, és könnyen illeszkedik bármilyen környezetbe.
A Home RG 6U/WH koax kábel 100 méteres tekercsben kapható, így bőséges mennyiséget biztosít nagyobb projektekhez is.
Ne hagyja ki ezt a lehetőséget, válassza a Home RG 6U/WH koax kábelt, és élvezze a zavartalan és kiváló minőségű jelátvitelt minden nap!</t>
        </is>
      </c>
    </row>
    <row r="1562">
      <c r="A1562" s="3" t="inlineStr">
        <is>
          <t>RG 58</t>
        </is>
      </c>
      <c r="B1562" s="2" t="inlineStr">
        <is>
          <t>Home RG 58 koax kábel, 50 Ohm, PVC és PE szigetelés, 19 réz ér, 96 szál rézharisnya, 100m, fekete</t>
        </is>
      </c>
      <c r="C1562" s="1" t="n">
        <v>369.0</v>
      </c>
      <c r="D1562" s="7" t="n">
        <f>HYPERLINK("https://www.somogyi.hu/product/home-rg-58-koax-kabel-50-ohm-pvc-es-pe-szigeteles-19-rez-er-96-szal-rezharisnya-100m-fekete-rg-58-1820","https://www.somogyi.hu/product/home-rg-58-koax-kabel-50-ohm-pvc-es-pe-szigeteles-19-rez-er-96-szal-rezharisnya-100m-fekete-rg-58-1820")</f>
        <v>0.0</v>
      </c>
      <c r="E1562" s="7" t="n">
        <f>HYPERLINK("https://www.somogyi.hu/data/img/product_main_images/small/01820.jpg","https://www.somogyi.hu/data/img/product_main_images/small/01820.jpg")</f>
        <v>0.0</v>
      </c>
      <c r="F1562" s="2" t="inlineStr">
        <is>
          <t>5998312703410</t>
        </is>
      </c>
      <c r="G1562" s="4" t="inlineStr">
        <is>
          <t>Professzionális kialakítású koax kábel, amely 50 Ω impedanciával, valamint 0,18 mm x 19 réz belső érrel rendelkezik. Az RG 58 fekete színben, 100 m/ tekercsben kapható. Válassza a minőségi termékeket és rendeljen webáruházunkból.</t>
        </is>
      </c>
    </row>
    <row r="1563">
      <c r="A1563" s="6" t="inlineStr">
        <is>
          <t xml:space="preserve">   Audio-video kiegészítők / Koaxiális csatlakozó, elosztó, F csatlakozó</t>
        </is>
      </c>
      <c r="B1563" s="6" t="inlineStr">
        <is>
          <t/>
        </is>
      </c>
      <c r="C1563" s="6" t="inlineStr">
        <is>
          <t/>
        </is>
      </c>
      <c r="D1563" s="6" t="inlineStr">
        <is>
          <t/>
        </is>
      </c>
      <c r="E1563" s="6" t="inlineStr">
        <is>
          <t/>
        </is>
      </c>
      <c r="F1563" s="6" t="inlineStr">
        <is>
          <t/>
        </is>
      </c>
      <c r="G1563" s="6" t="inlineStr">
        <is>
          <t/>
        </is>
      </c>
    </row>
    <row r="1564">
      <c r="A1564" s="3" t="inlineStr">
        <is>
          <t>FS 2</t>
        </is>
      </c>
      <c r="B1564" s="2" t="inlineStr">
        <is>
          <t>Home FS 2 koax aljzat, fém + műanyag, csavarozható, pipa kivitel</t>
        </is>
      </c>
      <c r="C1564" s="1" t="n">
        <v>129.0</v>
      </c>
      <c r="D1564" s="7" t="n">
        <f>HYPERLINK("https://www.somogyi.hu/product/home-fs-2-koax-aljzat-fem-muanyag-csavarozhato-pipa-kivitel-fs-2-1776","https://www.somogyi.hu/product/home-fs-2-koax-aljzat-fem-muanyag-csavarozhato-pipa-kivitel-fs-2-1776")</f>
        <v>0.0</v>
      </c>
      <c r="E1564" s="7" t="n">
        <f>HYPERLINK("https://www.somogyi.hu/data/img/product_main_images/small/01776.jpg","https://www.somogyi.hu/data/img/product_main_images/small/01776.jpg")</f>
        <v>0.0</v>
      </c>
      <c r="F1564" s="2" t="inlineStr">
        <is>
          <t>5998312702383</t>
        </is>
      </c>
      <c r="G1564" s="4" t="inlineStr">
        <is>
          <t>Megbízható kialakítású koax csatlakozót keres? Ez esetben tekintse meg csatlakozóink széles kínálatát! Az FS 2 pipa alakú egyenes lengő koax aljzat. A termék előnye, hogy csavarazható kivitelben kapható. Válassza a minőségi termékeket és rendeljen webáruházunkból.</t>
        </is>
      </c>
    </row>
    <row r="1565">
      <c r="A1565" s="3" t="inlineStr">
        <is>
          <t>TSP 1913</t>
        </is>
      </c>
      <c r="B1565" s="2" t="inlineStr">
        <is>
          <t>Home TSP 1913 F elosztó, 900-2400 MHz, 4 utas, 1 bemenet, 4 kimenet</t>
        </is>
      </c>
      <c r="C1565" s="1" t="n">
        <v>1750.0</v>
      </c>
      <c r="D1565" s="7" t="n">
        <f>HYPERLINK("https://www.somogyi.hu/product/home-tsp-1913-f-eloszto-900-2400-mhz-4-utas-1-bemenet-4-kimenet-tsp-1913-5140","https://www.somogyi.hu/product/home-tsp-1913-f-eloszto-900-2400-mhz-4-utas-1-bemenet-4-kimenet-tsp-1913-5140")</f>
        <v>0.0</v>
      </c>
      <c r="E1565" s="7" t="n">
        <f>HYPERLINK("https://www.somogyi.hu/data/img/product_main_images/small/05140.jpg","https://www.somogyi.hu/data/img/product_main_images/small/05140.jpg")</f>
        <v>0.0</v>
      </c>
      <c r="F1565" s="2" t="inlineStr">
        <is>
          <t>5998312745281</t>
        </is>
      </c>
      <c r="G1565" s="4" t="inlineStr">
        <is>
          <t>Keresse a megfelelő F elosztókat a kábeltévés, műholdvevős alkalmazásokhoz. A 4 utas TSP 1913 elosztó 1 db bemenettel és 4 db kimenettel rendelkezik. Válassza a minőségi termékeket és rendeljen webáruházunkból.</t>
        </is>
      </c>
    </row>
    <row r="1566">
      <c r="A1566" s="3" t="inlineStr">
        <is>
          <t>F 803C</t>
        </is>
      </c>
      <c r="B1566" s="2" t="inlineStr">
        <is>
          <t>Home F 803C F csatlakozódugó, fém, S6TSV kábelre préselhető, egyenes kivitel</t>
        </is>
      </c>
      <c r="C1566" s="1" t="n">
        <v>189.0</v>
      </c>
      <c r="D1566" s="7" t="n">
        <f>HYPERLINK("https://www.somogyi.hu/product/home-f-803c-f-csatlakozodugo-fem-s6tsv-kabelre-preselheto-egyenes-kivitel-f-803c-2992","https://www.somogyi.hu/product/home-f-803c-f-csatlakozodugo-fem-s6tsv-kabelre-preselheto-egyenes-kivitel-f-803c-2992")</f>
        <v>0.0</v>
      </c>
      <c r="E1566" s="7" t="n">
        <f>HYPERLINK("https://www.somogyi.hu/data/img/product_main_images/small/02992.jpg","https://www.somogyi.hu/data/img/product_main_images/small/02992.jpg")</f>
        <v>0.0</v>
      </c>
      <c r="F1566" s="2" t="inlineStr">
        <is>
          <t>5998312733165</t>
        </is>
      </c>
      <c r="G1566" s="4" t="inlineStr">
        <is>
          <t>Széles kínálatunkban garantáltan megtalálhatja az igényeinek megfelelő csatlakozókat és átalakítókat! Az F 803C fém kialakítással rendelkező F csatlakozó, préselhető típus. Különösen ajánlott S 6TSV kábelhez. Válassza a minőségi termékeket és rendeljen webáruházunkból.</t>
        </is>
      </c>
    </row>
    <row r="1567">
      <c r="A1567" s="3" t="inlineStr">
        <is>
          <t>FF 13</t>
        </is>
      </c>
      <c r="B1567" s="2" t="inlineStr">
        <is>
          <t>Home FF 13 csatlakozó átalakító, aljzat-aljzat, fém, csavarható, egyenes kivitel</t>
        </is>
      </c>
      <c r="C1567" s="1" t="n">
        <v>169.0</v>
      </c>
      <c r="D1567" s="7" t="n">
        <f>HYPERLINK("https://www.somogyi.hu/product/home-ff-13-csatlakozo-atalakito-aljzat-aljzat-fem-csavarhato-egyenes-kivitel-ff-13-1982","https://www.somogyi.hu/product/home-ff-13-csatlakozo-atalakito-aljzat-aljzat-fem-csavarhato-egyenes-kivitel-ff-13-1982")</f>
        <v>0.0</v>
      </c>
      <c r="E1567" s="7" t="n">
        <f>HYPERLINK("https://www.somogyi.hu/data/img/product_main_images/small/01982.jpg","https://www.somogyi.hu/data/img/product_main_images/small/01982.jpg")</f>
        <v>0.0</v>
      </c>
      <c r="F1567" s="2" t="inlineStr">
        <is>
          <t>5998312711804</t>
        </is>
      </c>
      <c r="G1567" s="4" t="inlineStr">
        <is>
          <t>Keresse az igényeinek megfelelő koax csatlakozókat! Az FF 13 toldó mindkét végén egy F aljzattal rendelkezik. Válassza a minőségi termékeket és rendeljen webáruházunkból.</t>
        </is>
      </c>
    </row>
    <row r="1568">
      <c r="A1568" s="3" t="inlineStr">
        <is>
          <t>FF 18</t>
        </is>
      </c>
      <c r="B1568" s="2" t="inlineStr">
        <is>
          <t>Home FF 18 csatlakozó átalakító, koax dugó-F aljzat, fém, csavarható, egyenes kivitel</t>
        </is>
      </c>
      <c r="C1568" s="1" t="n">
        <v>529.0</v>
      </c>
      <c r="D1568" s="7" t="n">
        <f>HYPERLINK("https://www.somogyi.hu/product/home-ff-18-csatlakozo-atalakito-koax-dugo-f-aljzat-fem-csavarhato-egyenes-kivitel-ff-18-1983","https://www.somogyi.hu/product/home-ff-18-csatlakozo-atalakito-koax-dugo-f-aljzat-fem-csavarhato-egyenes-kivitel-ff-18-1983")</f>
        <v>0.0</v>
      </c>
      <c r="E1568" s="7" t="n">
        <f>HYPERLINK("https://www.somogyi.hu/data/img/product_main_images/small/01983.jpg","https://www.somogyi.hu/data/img/product_main_images/small/01983.jpg")</f>
        <v>0.0</v>
      </c>
      <c r="F1568" s="2" t="inlineStr">
        <is>
          <t>5998312711811</t>
        </is>
      </c>
      <c r="G1568" s="4" t="inlineStr">
        <is>
          <t>Széles kínálatunkban garantáltan megtalálhatja az igényeinek megfelelő csatlakozókat és átalakítókat! Az FF 18 fém kialakítással rendelkező átalakító Koax dugóval és F aljzattal. Válassza a minőségi termékeket és rendeljen webáruházunkból.</t>
        </is>
      </c>
    </row>
    <row r="1569">
      <c r="A1569" s="3" t="inlineStr">
        <is>
          <t>FST 1X</t>
        </is>
      </c>
      <c r="B1569" s="2" t="inlineStr">
        <is>
          <t>Home FST 1X koax dugó, fém, kábelre tekerhető</t>
        </is>
      </c>
      <c r="C1569" s="1" t="n">
        <v>649.0</v>
      </c>
      <c r="D1569" s="7" t="n">
        <f>HYPERLINK("https://www.somogyi.hu/product/home-fst-1x-koax-dugo-fem-kabelre-tekerheto-fst-1x-2784","https://www.somogyi.hu/product/home-fst-1x-koax-dugo-fem-kabelre-tekerheto-fst-1x-2784")</f>
        <v>0.0</v>
      </c>
      <c r="E1569" s="7" t="n">
        <f>HYPERLINK("https://www.somogyi.hu/data/img/product_main_images/small/02784.jpg","https://www.somogyi.hu/data/img/product_main_images/small/02784.jpg")</f>
        <v>0.0</v>
      </c>
      <c r="F1569" s="2" t="inlineStr">
        <is>
          <t>5998312731086</t>
        </is>
      </c>
      <c r="G1569" s="4" t="inlineStr">
        <is>
          <t>Hogyan biztosíthatja a zavartalan jelátvitelt egyszerűen és megbízhatóan koaxiális rendszerei számára?
A Home FST 1X koax dugó ideális megoldást nyújt televíziók, Set Top Boxok és más koaxiális eszközök csatlakoztatásához. A speciális, fémházas kialakítás és az RG 6-os kábelre tekerhető bekötés lehetővé teszi a gyors és stabil csatlakozást, miközben a termék hosszú távon is megbízható működést garantál. Az egyszerű szerelhetőség és a tartós anyaghasználat révén ez a koax dugó kiváló választás otthoni és professzionális felhasználásra egyaránt.
Tekerhető rögzítés az egyszerű szerelésért
A koax dugó különlegessége az RG 6-os kábelre tekerhető bekötési rendszer, amely lehetővé teszi a szerszám nélküli, gyors rögzítést. Ez a megoldás nemcsak leegyszerűsíti a telepítést, hanem biztosítja a stabil, kilazulásmentes kapcsolatot, amely elengedhetetlen a zavartalan jelátvitelhez. Így a koax dugó hosszú távon is megbízható kapcsolatot nyújt.
Strapabíró fémház a hosszú élettartam érdekében
A fémházas kivitel garantálja a dugó tartósságát, miközben hatékony árnyékolást nyújt a külső elektromágneses zavarokkal szemben. Ez különösen fontos a tiszta kép- és hangminőség fenntartásához. A masszív ház ellenáll a mechanikai hatásoknak, így a koax dugó ellenállóbb a mindennapos használat során fellépő kopással és sérülésekkel szemben.
Praktikus csomagolás a biztonságos tárolásért
A Home FST 1X koax dugó bliszteres csomagolásban érkezik, amely védi a terméket a szállítás során, és megkönnyíti annak rendszerezését. A csomagolásnak köszönhetően a dugó sérülésmentesen kerül felhasználásra, így garantáltan kifogástalan állapotban kezdheti meg a telepítést.
Miért válassza a Home FST 1X koax dugót?
– Tekerhető bekötés az egyszerű és gyors telepítésért, szerszámok nélkül 
– Fémházas kialakítás, amely hosszú élettartamot és hatékony árnyékolást biztosít 
– Ideális televíziók, Set Top Boxok és egyéb koaxiális eszközök csatlakoztatására 
– Bliszteres csomagolás a sérülésmentes tárolás és szállítás érdekében 
– Stabil és megbízható kapcsolat, amely minimalizálja a jelvesztést és javítja a képminőséget
A Home FST 1X koax dugó segítségével garantáltan megbízható és tartós csatlakozást hozhat létre koaxiális rendszereihez. Válassza ezt a professzionális megoldást, hogy minden eszköze zavartalanul működjön, és élvezze a kiváló kép- és hangminőséget!</t>
        </is>
      </c>
    </row>
    <row r="1570">
      <c r="A1570" s="3" t="inlineStr">
        <is>
          <t>TSX 1911</t>
        </is>
      </c>
      <c r="B1570" s="2" t="inlineStr">
        <is>
          <t>Home TSX 1911 F elosztó, HQ professzionális minőség, 75 Ohm, IP44, cink-ötvözet konstrukció, 5-2400 MHz, 3 utas, 1 bemenet, 3 kimenet</t>
        </is>
      </c>
      <c r="C1570" s="1" t="n">
        <v>2290.0</v>
      </c>
      <c r="D1570" s="7" t="n">
        <f>HYPERLINK("https://www.somogyi.hu/product/home-tsx-1911-f-eloszto-hq-professzionalis-minoseg-75-ohm-ip44-cink-otvozet-konstrukcio-5-2400-mhz-3-utas-1-bemenet-3-kimenet-tsx-1911-17976","https://www.somogyi.hu/product/home-tsx-1911-f-eloszto-hq-professzionalis-minoseg-75-ohm-ip44-cink-otvozet-konstrukcio-5-2400-mhz-3-utas-1-bemenet-3-kimenet-tsx-1911-17976")</f>
        <v>0.0</v>
      </c>
      <c r="E1570" s="7" t="n">
        <f>HYPERLINK("https://www.somogyi.hu/data/img/product_main_images/small/17976.jpg","https://www.somogyi.hu/data/img/product_main_images/small/17976.jpg")</f>
        <v>0.0</v>
      </c>
      <c r="F1570" s="2" t="inlineStr">
        <is>
          <t>5999084959982</t>
        </is>
      </c>
      <c r="G1570" s="4" t="inlineStr">
        <is>
          <t>Szeretne egyszerre több eszközt csatlakoztatni zavarmentes jelátvitellel? A Home TSX 1911 F elosztó professzionális minőséget kínál mindazoknak, akik megbízható jelátviteli megoldást keresnek. 
Ez a 3 utas elosztó lehetővé teszi, hogy egyetlen bemenetről akár 3 különböző eszközre továbbítson jeleket, anélkül, hogy a minőség csökkenne. Az 5-2400 MHz szélessávú jelátvitel biztosítja a zavartalan, tiszta adatfolyamot, legyen szó televíziós rendszerekről, rádiójelekről vagy egyéb eszközökről. A 75 Ohm impedancia kiváló teljesítményt nyújt, míg a feszültségbemeneti lehetőségek a kimeneteken keresztül további rugalmasságot biztosítanak, különösen a távtáplálási opcióval (15 V / 1A max.). 
A stabil cink-ötvözet konstrukció nem csak hosszú élettartamot garantál, hanem ellenáll a környezeti hatásoknak is, amit az IP44 vízállóság is megerősít – így akár kültéren is nyugodtan használható. Az elosztó könnyen felcsavarozható, a szükséges csavarokat a csomag tartalmazza, így gyorsan és egyszerűen rögzíthető a kívánt helyre. Az 1 bemenet és 3 kimenet kialakítás különösen praktikus olyan helyzetekben, amikor több készülék egyidejű csatlakoztatása szükséges, például házimozi-rendszerek vagy több szobás televíziós hálózatok esetén.
Ne hagyja, hogy a gyenge jelátvitel hátráltassa készülékeit! Válassza a Home TSX 1911 F elosztót, és élvezze a professzionális minőségű szélessávú adatátvitelt otthonában vagy irodájában.</t>
        </is>
      </c>
    </row>
    <row r="1571">
      <c r="A1571" s="3" t="inlineStr">
        <is>
          <t>FS 15X</t>
        </is>
      </c>
      <c r="B1571" s="2" t="inlineStr">
        <is>
          <t>Home FS 15X koax aljzat, fém, csavarozható</t>
        </is>
      </c>
      <c r="C1571" s="1" t="n">
        <v>539.0</v>
      </c>
      <c r="D1571" s="7" t="n">
        <f>HYPERLINK("https://www.somogyi.hu/product/home-fs-15x-koax-aljzat-fem-csavarozhato-fs-15x-2196","https://www.somogyi.hu/product/home-fs-15x-koax-aljzat-fem-csavarozhato-fs-15x-2196")</f>
        <v>0.0</v>
      </c>
      <c r="E1571" s="7" t="n">
        <f>HYPERLINK("https://www.somogyi.hu/data/img/product_main_images/small/02196.jpg","https://www.somogyi.hu/data/img/product_main_images/small/02196.jpg")</f>
        <v>0.0</v>
      </c>
      <c r="F1571" s="2" t="inlineStr">
        <is>
          <t>5998312724613</t>
        </is>
      </c>
      <c r="G1571" s="4" t="inlineStr">
        <is>
          <t>Szüksége van egy megbízható és tartós koax aljzatra, amely biztosítja a stabil csatlakozást?
A Home FS 15X koax aljzat ideális választás minden olyan alkalmazáshoz, ahol kiemelten fontos a stabil jelátvitel és a hosszú élettartam. Kiváló minőségű fémházas kialakítása garantálja a tartósságot, míg a csavaros bekötési rendszerlehetővé teszi a gyors és biztonságos csatlakoztatást. Legyen szó televíziós rendszerekről, műholdvevőkről vagy Set Top Boxok csatlakoztatásáról, ez a koax aljzat biztosítja a zavartalan működést.
Kiváló minőségű, fémházas kialakítás
A koax aljzat strapabíró fémházból készült, amely nemcsak mechanikai sérülésekkel szemben nyújt védelmet, hanem hatékony árnyékolást is biztosít a külső elektromágneses zavarok ellen. Ezáltal garantált a tiszta jelátvitel, ami nélkülözhetetlen a zavartalan kép- és hangminőséghez.
Csavaros bekötés a stabil csatlakozásért
A csavaros bekötési rendszer gyors és egyszerű szerelést tesz lehetővé, miközben biztosítja, hogy a koax kábel stabilan rögzüljön, és hosszú távon is megbízható kapcsolatot nyújtson. Az ilyen típusú csatlakozás minimalizálja a kontaktushibák kockázatát, ezáltal növeli a rendszer üzembiztonságát.
Egyszerű telepítés és praktikus csomagolás
A Home FS 15X koax aljzat bliszteres csomagolásban érkezik, amely megvédi a terméket a szállítás és tárolás során. Az egyszerű telepítésnek köszönhetően akár otthoni környezetben is könnyedén alkalmazható, nincs szükség speciális szerszámokra vagy szakértelemre.
Miért válassza a Home FS 15X koax aljzatot?
– Fémházas kialakítás, amely tartósságot és kiváló árnyékolást biztosít 
– Csavaros rögzítési rendszer a stabil és megbízható csatlakozás érdekében 
– Kiválóan alkalmazható televíziós, műholdas és kábeles rendszerekben 
– Bliszteres csomagolás a sérülésmentes szállítás és tárolás érdekében 
– Egyszerű szerelhetőség, akár házilag is könnyedén telepíthető
A Home FS 15X koax aljzat segítségével biztosíthatja a megbízható, zavartalan jelátvitelt, legyen szó otthoni vagy ipari felhasználásról. Válassza ezt a strapabíró és könnyen telepíthető megoldást, és élvezze a tiszta, hibamentes kapcsolat előnyeit minden helyzetben!</t>
        </is>
      </c>
    </row>
    <row r="1572">
      <c r="A1572" s="3" t="inlineStr">
        <is>
          <t>FF 1X</t>
        </is>
      </c>
      <c r="B1572" s="2" t="inlineStr">
        <is>
          <t>Home FF 1X F dugó, RG 6-hoz</t>
        </is>
      </c>
      <c r="C1572" s="1" t="n">
        <v>269.0</v>
      </c>
      <c r="D1572" s="7" t="n">
        <f>HYPERLINK("https://www.somogyi.hu/product/home-ff-1x-f-dugo-rg-6-hoz-ff-1x-2177","https://www.somogyi.hu/product/home-ff-1x-f-dugo-rg-6-hoz-ff-1x-2177")</f>
        <v>0.0</v>
      </c>
      <c r="E1572" s="7" t="n">
        <f>HYPERLINK("https://www.somogyi.hu/data/img/product_main_images/small/02177.jpg","https://www.somogyi.hu/data/img/product_main_images/small/02177.jpg")</f>
        <v>0.0</v>
      </c>
      <c r="F1572" s="2" t="inlineStr">
        <is>
          <t>5998312724422</t>
        </is>
      </c>
      <c r="G1572" s="4" t="inlineStr">
        <is>
          <t>Hogyan biztosíthatja a koaxiális kábelek stabil és megbízható csatlakoztatását egy egyszerű, mégis professzionális eszközzel?
A Home FF 1X F-dugó ideális választás, ha RG-6 típusú koaxiális kábeleket szeretne biztonságosan csatlakoztatni különféle eszközökhöz, mint például televíziókhoz, műholdvevőkhez vagy Set Top Boxokhoz. A strapabíró kialakítású, könnyen szerelhető F-dugók garantálják a stabil jelátvitelt, amely elengedhetetlen a kiváló kép- és hangminőséghez.
Precíz illeszkedés és kiváló kompatibilitás
Ez a 2 db-os F-dugó készlet kifejezetten az RG-6 típusú koaxiális kábelekhez lett tervezve, amelyek széles körben használatosak televíziós és műholdas rendszerekben. Az optimális méretezésnek köszönhetően a dugók szorosan illeszkednek a kábelre, biztosítva a stabil csatlakozást és a zavartalan jelátvitelt. A precíz illeszkedés kulcsfontosságú a jelek minőségének megőrzése érdekében, így a csatlakoztatott eszközök mindig kiváló teljesítményt nyújtanak.
Strapabíró kivitel és hosszú élettartam
A Home FF 1X F-dugók masszív, kiváló minőségű anyagból készültek, amely ellenáll a rendszeres használat és szerelés során fellépő mechanikai hatásoknak. A strapabíró kialakítás hosszú távú használatra alkalmas, így biztosítva, hogy a csatlakozás még intenzív igénybevétel esetén is megbízható maradjon.
Könnyű telepítés és praktikus csomagolás
A csavaros rögzítésű F-dugók egyszerű és gyors szerelést tesznek lehetővé, így nincs szükség speciális szerszámokra vagy bonyolult eszközökre a telepítés során. A termék bliszteres csomagolásban érkezik, amely biztosítja a dugók védelmét szállítás és tárolás közben, valamint megkönnyíti azok rendszerezését.
Miért válassza a Home FF 1X F-dugót?
– Kifejezetten RG-6 típusú koaxiális kábelekhez tervezve 
– Precíz illeszkedés, amely garantálja a stabil és megbízható jelátvitelt 
– Strapabíró anyaghasználat, amely hosszú távú használatot biztosít 
– Egyszerű, csavaros rögzítésű kialakítás a gyors szerelés érdekében 
– 2 db-os kiszerelés, bliszteres csomagolásban a könnyű tárolásért
Ha fontos Önnek a zavartalan jelátvitel és a könnyű telepíthetőség, a Home FF 1X F-dugó remek megoldást nyújt a koaxiális rendszerek csatlakoztatásához. Válassza ezt a megbízható kiegészítőt, és biztosítsa eszközei számára a tökéletes kapcsolatot minden alkalommal!</t>
        </is>
      </c>
    </row>
    <row r="1573">
      <c r="A1573" s="3" t="inlineStr">
        <is>
          <t>FS 12X</t>
        </is>
      </c>
      <c r="B1573" s="2" t="inlineStr">
        <is>
          <t>Home FS 12X 1 db pipa koax dugó + 1 db pipa koax aljzat</t>
        </is>
      </c>
      <c r="C1573" s="1" t="n">
        <v>369.0</v>
      </c>
      <c r="D1573" s="7" t="n">
        <f>HYPERLINK("https://www.somogyi.hu/product/home-fs-12x-1-db-pipa-koax-dugo-1-db-pipa-koax-aljzat-fs-12x-2194","https://www.somogyi.hu/product/home-fs-12x-1-db-pipa-koax-dugo-1-db-pipa-koax-aljzat-fs-12x-2194")</f>
        <v>0.0</v>
      </c>
      <c r="E1573" s="7" t="n">
        <f>HYPERLINK("https://www.somogyi.hu/data/img/product_main_images/small/02194.jpg","https://www.somogyi.hu/data/img/product_main_images/small/02194.jpg")</f>
        <v>0.0</v>
      </c>
      <c r="F1573" s="2" t="inlineStr">
        <is>
          <t>5998312724590</t>
        </is>
      </c>
      <c r="G1573" s="4" t="inlineStr">
        <is>
          <t>Hogyan oldhatja meg egyszerűen a szűk helyeken történő koaxiális csatlakoztatást?
A Home FS 12X pipa koax csatlakozókészlet kiváló megoldást nyújt olyan helyzetekben, amikor a hagyományos, egyenes koax csatlakozók nem férnek el megfelelően. A szett tartalmaz egy pipa alakú koax dugót és egy pipa alakú koax aljzatot, amelyek lehetővé teszik a szűk helyeken történő könnyű és stabil csatlakoztatást. Ideális választás televíziók, Set Top Boxok, valamint különféle antenna- és kábeltelevíziós rendszerek bekötéséhez.
Helytakarékos pipa kialakítás
A pipa alakú kialakítás előnye, hogy a csatlakozók minimális helyet foglalnak el, így kiválóan használhatók olyan helyeken, ahol a készülékek a falhoz közel helyezkednek el. Ezzel nemcsak a kábelek megtörését akadályozza meg, hanem esztétikusabbá is teszi a csatlakoztatott rendszert, mivel a kábelek szorosan a fal mellett vezethetők el.
Tartós és megbízható műanyag ház
A csatlakozók műanyag háza strapabíró és ellenáll a mindennapos használat során fellépő igénybevételnek. A csavaros bekötési mechanizmus biztosítja a stabil és megbízható csatlakozást, amely garantálja a zavartalan jelátvitelt. Ez különösen fontos a tiszta kép- és hangminőség fenntartása érdekében.
Egyszerű telepítés és praktikus csomagolás
A csavaros bekötési módnak köszönhetően a csatlakozók könnyedén szerelhetők, nincs szükség speciális szerszámokra, így akár házilag is gyorsan és biztonságosan telepíthetők. A termék bliszteres csomagolásban érkezik, amely megkönnyíti a tárolást és szállítást, valamint védi a csatlakozókat a sérülésektől.
Miért érdemes a Home FS 12X pipa koax csatlakozókészletet választani?
– Pipa alakú kialakítás, amely helytakarékos és megakadályozza a kábelek megtörését 
– Strapabíró műanyag ház a hosszú élettartam érdekében 
– Csavaros bekötés, amely biztosítja a stabil és zavartalan csatlakoztatást 
– Kiválóan használható televíziók, Set Top Boxok és egyéb koaxiális eszközök bekötéséhez 
– Bliszteres csomagolás, amely védi a terméket és megkönnyíti a tárolást
A Home FS 12X pipa koax csatlakozókészlet ideális választás mindazok számára, akik szűk helyeken is stabil, megbízható csatlakoztatást szeretnének elérni. Válassza ezt a praktikus szettet, és biztosítsa a kiváló jelátvitelt anélkül, hogy helyet kellene feláldoznia!</t>
        </is>
      </c>
    </row>
    <row r="1574">
      <c r="A1574" s="3" t="inlineStr">
        <is>
          <t>FS 28X</t>
        </is>
      </c>
      <c r="B1574" s="2" t="inlineStr">
        <is>
          <t>Home FS 28X koax elosztó, 1 dugó - 2 aljzat, fém</t>
        </is>
      </c>
      <c r="C1574" s="1" t="n">
        <v>839.0</v>
      </c>
      <c r="D1574" s="7" t="n">
        <f>HYPERLINK("https://www.somogyi.hu/product/home-fs-28x-koax-eloszto-1-dugo-2-aljzat-fem-fs-28x-2205","https://www.somogyi.hu/product/home-fs-28x-koax-eloszto-1-dugo-2-aljzat-fem-fs-28x-2205")</f>
        <v>0.0</v>
      </c>
      <c r="E1574" s="7" t="n">
        <f>HYPERLINK("https://www.somogyi.hu/data/img/product_main_images/small/02205.jpg","https://www.somogyi.hu/data/img/product_main_images/small/02205.jpg")</f>
        <v>0.0</v>
      </c>
      <c r="F1574" s="2" t="inlineStr">
        <is>
          <t>5998312724705</t>
        </is>
      </c>
      <c r="G1574" s="4" t="inlineStr">
        <is>
          <t>Hogyan csatlakoztathat egyszerre több eszközt egyetlen koaxiális jelforráshoz, anélkül, hogy a jelminőség csökkenne?
A Home FS 28X koax elosztó tökéletes megoldás, ha egyetlen koaxiális jelforrást két különböző eszközre kíván csatlakoztatni. Ez a kiváló minőségű, fémházas koax elosztó garantálja a stabil és megbízható jelátvitelt, miközben hatékonyan védi a jelet a külső zavaroktól. Ideális választás televíziók, Set Top Boxok és más koaxiális bemenetű eszközök egyidejű csatlakoztatására.
Két eszköz egyidejű csatlakoztatása kompromisszumok nélkül
Az elosztó 1 koax dugóval és 2 koax aljzattal van ellátva, így lehetővé teszi, hogy egyetlen antenna- vagy kábelcsatlakozásról egyszerre két különböző eszközt üzemeltessen. Ez különösen hasznos, ha több televíziót vagy egy televíziót és egy Set Top Boxot szeretne ugyanarról a jelforrásról működtetni. A pontos illeszkedésű csatlakozók biztosítják a stabil kapcsolatot, amely elengedhetetlen a kiváló kép- és hangminőséghez.
Strapabíró fémház és hatékony zavarvédelem
A fémházas kialakítás nemcsak a termék hosszú élettartamát biztosítja, hanem hatékony árnyékolást is nyújt a külső elektromágneses zavarokkal szemben. Ezáltal a jelátvitel mindig zavartalan marad, így a csatlakoztatott eszközök kiváló minőségben jelenítik meg a jeleket. A masszív fémház ellenáll a mechanikai hatásoknak, így az elosztó a mindennapos használat során is megőrzi eredeti minőségét.
Egyszerű telepítés és biztonságos csomagolás
A Home FS 28X koax elosztó bliszteres csomagolásban érkezik, amely védi a terméket a szállítás és tárolás során. Az egyszerű telepítési folyamatnak köszönhetően nincs szükség speciális szerszámokra vagy különleges szakértelemre – a csatlakoztatás gyorsan és biztonságosan elvégezhető.
Miért érdemes a Home FS 28X koax elosztót választani?
– 1 koax dugó és 2 koax aljzat a több eszköz egyszerre történő csatlakoztatásához 
– Strapabíró, tartós fémház, amely hosszú élettartamot garantál 
– Hatékony árnyékolás a zavartalan jelátvitel érdekében 
– Kiválóan alkalmas televíziók, Set Top Boxok és egyéb koaxiális eszközök használatához 
– Bliszteres csomagolás a biztonságos szállítás és tárolás érdekében 
– Egyszerű és gyors telepítés, amely nem igényel különleges eszközöket
A Home FS 28X koax elosztó segítségével egyszerűen oszthatja meg a koaxiális jelet anélkül, hogy a jel minősége romlana, így minden eszközén kiváló kép- és hangminőséget élvezhet. Válassza ezt a tartós és megbízható elosztót, hogy maximálisan kihasználhassa koaxiális rendszere lehetőségeit!</t>
        </is>
      </c>
    </row>
    <row r="1575">
      <c r="A1575" s="3" t="inlineStr">
        <is>
          <t>FS 14X</t>
        </is>
      </c>
      <c r="B1575" s="2" t="inlineStr">
        <is>
          <t>Home FS 14X koax dugó, fém</t>
        </is>
      </c>
      <c r="C1575" s="1" t="n">
        <v>539.0</v>
      </c>
      <c r="D1575" s="7" t="n">
        <f>HYPERLINK("https://www.somogyi.hu/product/home-fs-14x-koax-dugo-fem-fs-14x-2195","https://www.somogyi.hu/product/home-fs-14x-koax-dugo-fem-fs-14x-2195")</f>
        <v>0.0</v>
      </c>
      <c r="E1575" s="7" t="n">
        <f>HYPERLINK("https://www.somogyi.hu/data/img/product_main_images/small/02195.jpg","https://www.somogyi.hu/data/img/product_main_images/small/02195.jpg")</f>
        <v>0.0</v>
      </c>
      <c r="F1575" s="2" t="inlineStr">
        <is>
          <t>5998312724606</t>
        </is>
      </c>
      <c r="G1575" s="4" t="inlineStr">
        <is>
          <t>Hogyan biztosíthatja a zavartalan jelátvitelt televíziójához vagy műholdvevőjéhez egyszerűen és hatékonyan?
A Home FS 14X koax dugó kiváló megoldást nyújt, ha stabil és megbízható koaxiális csatlakozást szeretne létrehozni különböző eszközök, például televíziók, Set Top Boxok vagy műholdvevők számára. A precíz kialakítású, fémházas koax dugó nemcsak tartós, hanem biztosítja a kiváló jelminőséget, amely elengedhetetlen a tiszta kép- és hangátvitelhez.
Kiváló minőségű csatlakozó precíz bekötéssel
Ez a koax dugó strapabíró fémházzal rendelkezik, amely nemcsak a mechanikai sérülésekkel szembeni ellenállást növeli, hanem hatékony árnyékolást is biztosít a külső elektromágneses zavarokkal szemben. A csavaros bekötési rendszer lehetővé teszi a gyors és egyszerű szerelést, így stabil és biztonságos kapcsolatot hozhat létre, amely hosszú távon is megbízható működést garantál.
Strapabíró kialakítás a hosszú élettartam érdekében
A fémházas kivitel garantálja a tartós használatot, miközben megvédi a csatlakozót a külső környezeti hatásoktól. A csavaros rögzítés biztosítja, hogy a dugó stabilan illeszkedjen a koaxiális kábelhez, így minimálisra csökkenti a csatlakozási hibák kockázatát, ezáltal megőrizve a kiváló jelminőséget.
Egyszerű telepítés és praktikus csomagolás
A Home FS 14X koax dugó bliszteres csomagolásban érkezik, amely megvédi a terméket a szállítás és tárolás során. Az egyszerűen szerelhető kialakításnak köszönhetően nem szükséges speciális szerszám a bekötéshez, így akár otthon, szakember segítsége nélkül is könnyedén elvégezhető a csatlakoztatás.
Miért válassza a Home FS 14X koax dugót?
– Fémházas kivitel, amely tartós és hatékony árnyékolást biztosít 
– Csavaros rögzítés a stabil és biztonságos csatlakozás érdekében 
– Kiválóan alkalmas televíziók, Set Top Boxok és műholdvevők csatlakoztatására 
– Bliszteres csomagolás a sérülésmentes szállítás és tárolás érdekében 
– Egyszerű és gyors telepítés, akár házilag is
A Home FS 14X koax dugó ideális választás, ha tartós, megbízható és könnyen szerelhető csatlakozóra van szüksége koaxiális rendszereihez. Válassza ezt a minőségi kiegészítőt, és élvezze a zavartalan kép- és hangminőséget minden alkalommal!</t>
        </is>
      </c>
    </row>
    <row r="1576">
      <c r="A1576" s="3" t="inlineStr">
        <is>
          <t>FS 1</t>
        </is>
      </c>
      <c r="B1576" s="2" t="inlineStr">
        <is>
          <t>Home FS 1 koax dugó, fém + műanyag, csavarozható, pipa kivitel</t>
        </is>
      </c>
      <c r="C1576" s="1" t="n">
        <v>129.0</v>
      </c>
      <c r="D1576" s="7" t="n">
        <f>HYPERLINK("https://www.somogyi.hu/product/home-fs-1-koax-dugo-fem-muanyag-csavarozhato-pipa-kivitel-fs-1-1771","https://www.somogyi.hu/product/home-fs-1-koax-dugo-fem-muanyag-csavarozhato-pipa-kivitel-fs-1-1771")</f>
        <v>0.0</v>
      </c>
      <c r="E1576" s="7" t="n">
        <f>HYPERLINK("https://www.somogyi.hu/data/img/product_main_images/small/01771.jpg","https://www.somogyi.hu/data/img/product_main_images/small/01771.jpg")</f>
        <v>0.0</v>
      </c>
      <c r="F1576" s="2" t="inlineStr">
        <is>
          <t>5998312702338</t>
        </is>
      </c>
      <c r="G1576" s="4" t="inlineStr">
        <is>
          <t>Megbízható kialakítású koax csatlakozót keres? Ez esetben tekintse meg csatlakozóink széles kínálatát! Az FS 1 pipa alakú lengő koax dugó. A termék előnye, hogy csavarazható kivitelben kapható. Válassza a minőségi termékeket és rendeljen webáruházunkból.</t>
        </is>
      </c>
    </row>
    <row r="1577">
      <c r="A1577" s="3" t="inlineStr">
        <is>
          <t>FF 113X</t>
        </is>
      </c>
      <c r="B1577" s="2" t="inlineStr">
        <is>
          <t>Home FF 113X 2 db F- dugó + 1 db F- toldó</t>
        </is>
      </c>
      <c r="C1577" s="1" t="n">
        <v>349.0</v>
      </c>
      <c r="D1577" s="7" t="n">
        <f>HYPERLINK("https://www.somogyi.hu/product/home-ff-113x-2-db-f-dugo-1-db-f-toldo-ff-113x-2437","https://www.somogyi.hu/product/home-ff-113x-2-db-f-dugo-1-db-f-toldo-ff-113x-2437")</f>
        <v>0.0</v>
      </c>
      <c r="E1577" s="7" t="n">
        <f>HYPERLINK("https://www.somogyi.hu/data/img/product_main_images/small/02437.jpg","https://www.somogyi.hu/data/img/product_main_images/small/02437.jpg")</f>
        <v>0.0</v>
      </c>
      <c r="F1577" s="2" t="inlineStr">
        <is>
          <t>5998312727461</t>
        </is>
      </c>
      <c r="G1577" s="4" t="inlineStr">
        <is>
          <t>Hogyan érhet el stabil és megbízható koaxiális csatlakoztatást gyorsan és egyszerűen?
A Home FF 113X csatlakozókészlet tökéletes választás, ha megbízható csatlakozásokra van szüksége koaxiális kábelek szerelésekor. A készlet 2 db F-dugót és 1 db F-toldót tartalmaz, amelyek kiválóan alkalmasak antenna- és műholdas rendszerek összekötésére, toldására vagy javítására. A fémházas kialakítás biztosítja a hosszú élettartamot és az optimális jelátvitelt, így garantálja a zavarmentes kép- és hangminőséget.
Kiváló minőségű csatlakozók és toldó
A csatlakozókészlet 2 db F-dugót tartalmaz, amelyek precízen illeszkednek a koaxiális kábelekhez, biztosítva a stabil rögzítést. A tekerhető kialakítás lehetővé teszi az egyszerű és gyors szerelést, így akár szakmai segítség nélkül is könnyedén kivitelezheti a szükséges csatlakoztatásokat. Az F-toldó aljzat lehetőséget nyújt két koaxiális kábel hosszabbítására vagy összekapcsolására, miközben megőrzi a jelminőséget.
Strapabíró és tartós fémházas kivitel
A csatlakozók és a toldó is fémházzal készültek, amely nemcsak a tartósságot biztosítja, hanem a zavarvédelemben is fontos szerepet játszik. A fémes borítás hatékonyan árnyékolja a jeleket a külső elektromágneses interferenciáktól, ezáltal kiváló minőségű jelátvitelt garantál.
Könnyű telepítés és sokoldalú felhasználhatóság
A csatlakozók RG 6 típusú koaxiális kábelekhez lettek tervezve, amelyek széles körben elterjedtek műholdas és kábeltévés rendszerekben. A bliszteres csomagolás megkönnyíti a tárolást és a szállítást, így mindig kéznél tarthatja a szükséges csatlakozókat.
Miért válassza a Home FF 113X csatlakozókészletet?
– 2 db F-dugó és 1 db F-toldó a gyors és megbízható csatlakoztatásért 
– Tekerhető kialakítás az egyszerű szereléshez 
– Strapabíró, fémházas kivitel a hosszú élettartam és zavarvédelem érdekében
 – Kompatibilis RG 6 típusú koaxiális kábelekkel 
– Bliszteres csomagolás a könnyű tárolásért és szállításért
Legyen szó új koaxiális rendszer kiépítéséről, meglévő kábelek hosszabbításáról vagy javításáról, a Home FF 113X csatlakozókészlet megbízható és tartós megoldást kínál. Válassza ezt a prémium minőségű készletet, és élvezze a zavartalan jelátvitelt és a tökéletes képminőséget minden alkalommal!</t>
        </is>
      </c>
    </row>
    <row r="1578">
      <c r="A1578" s="3" t="inlineStr">
        <is>
          <t>FS 14</t>
        </is>
      </c>
      <c r="B1578" s="2" t="inlineStr">
        <is>
          <t>Home FS 14 koax dugó, fém, csavarozható, egyenes kivitel</t>
        </is>
      </c>
      <c r="C1578" s="1" t="n">
        <v>429.0</v>
      </c>
      <c r="D1578" s="7" t="n">
        <f>HYPERLINK("https://www.somogyi.hu/product/home-fs-14-koax-dugo-fem-csavarozhato-egyenes-kivitel-fs-14-1772","https://www.somogyi.hu/product/home-fs-14-koax-dugo-fem-csavarozhato-egyenes-kivitel-fs-14-1772")</f>
        <v>0.0</v>
      </c>
      <c r="E1578" s="7" t="n">
        <f>HYPERLINK("https://www.somogyi.hu/data/img/product_main_images/small/01772.jpg","https://www.somogyi.hu/data/img/product_main_images/small/01772.jpg")</f>
        <v>0.0</v>
      </c>
      <c r="F1578" s="2" t="inlineStr">
        <is>
          <t>5998312702345</t>
        </is>
      </c>
      <c r="G1578" s="4" t="inlineStr">
        <is>
          <t>Megbízható kialakítású koax csatlakozót keres? Ez esetben tekintse meg csatlakozóink széles kínálatát! Az FS 14 masszív fém alapanyagú egyenes lengő koax dugó. A termék előnye, hogy csavarazható kivitelben kapható. Válassza a minőségi termékeket és rendeljen webáruházunkból.</t>
        </is>
      </c>
    </row>
    <row r="1579">
      <c r="A1579" s="3" t="inlineStr">
        <is>
          <t>FF 18X</t>
        </is>
      </c>
      <c r="B1579" s="2" t="inlineStr">
        <is>
          <t>Home FF 18X átalakító, koax dugó-F aljzat</t>
        </is>
      </c>
      <c r="C1579" s="1" t="n">
        <v>619.0</v>
      </c>
      <c r="D1579" s="7" t="n">
        <f>HYPERLINK("https://www.somogyi.hu/product/home-ff-18x-atalakito-koax-dugo-f-aljzat-ff-18x-2183","https://www.somogyi.hu/product/home-ff-18x-atalakito-koax-dugo-f-aljzat-ff-18x-2183")</f>
        <v>0.0</v>
      </c>
      <c r="E1579" s="7" t="n">
        <f>HYPERLINK("https://www.somogyi.hu/data/img/product_main_images/small/02183.jpg","https://www.somogyi.hu/data/img/product_main_images/small/02183.jpg")</f>
        <v>0.0</v>
      </c>
      <c r="F1579" s="2" t="inlineStr">
        <is>
          <t>5998312724484</t>
        </is>
      </c>
      <c r="G1579" s="4" t="inlineStr">
        <is>
          <t>Hogyan oldhatja meg gyorsan és egyszerűen a koaxiális kábelek csatlakoztatását különböző eszközök között?
A Home FF 18X átalakító ideális választás, ha gyorsan és megbízhatóan szeretne koaxiális kábeleket csatlakoztatni különféle eszközökhöz. A praktikus kialakítású átalakító koax dugó és F aljzat csatlakozóval van ellátva, amely lehetővé teszi, hogy különböző típusú kábeleket egyszerűen összekapcsoljon. Kiváló megoldás televíziók, műholdvevők, Set Top Boxok és egyéb koaxiális bemenetű eszközök használatakor.
Sokoldalú csatlakoztatási lehetőségek
Ez az átalakító koax dugóval és F aljzattal rendelkezik, így lehetővé teszi a különböző típusú koaxiális csatlakozások közötti egyszerű átalakítást. Ez különösen előnyös, ha különböző eszközök és kábelek kompatibilitását kell megoldani. A kiváló minőségű csatlakozók biztosítják a stabil jelátvitelt, amely elengedhetetlen a tiszta kép- és hangminőséghez.
Strapabíró, fémházas kialakítás
A fémházas kivitel nemcsak tartósságot garantál, hanem hatékony árnyékolást is biztosít a külső elektromágneses zavarokkal szemben. Ezáltal az átalakító hosszú távon megbízható működést nyújt, és ellenáll a mindennapi használat során fellépő mechanikai hatásoknak. A strapabíró kialakítás ideális választássá teszi akár ipari környezetben, akár otthoni felhasználásra.
Egyszerű használat és praktikus csomagolás
Az átalakító bliszteres csomagolásban érkezik, amely megkönnyíti a tárolást és szállítást. Az egyszerű csatlakoztatásnak köszönhetően nincs szükség speciális szerszámokra vagy különleges szakértelemre, így akár házilag is könnyedén alkalmazható.
Miért érdemes a Home FF 18X átalakítót választani?
– Koax dugó és F aljzat kombinációja a sokoldalú felhasználásért 
– Strapabíró, fémházas kivitel a hosszú élettartam és stabil jelátvitel érdekében 
– Hatékony árnyékolás a külső zavarokkal szemben 
– Könnyen csatlakoztatható, nincs szükség speciális szerszámokra 
– Bliszteres csomagolás a könnyű tárolás és szállítás érdekében
A Home FF 18X átalakító segítségével egyszerűen és gyorsan csatlakoztathatja koaxiális kábeleit különféle eszközökhöz, miközben biztosítja a tökéletes jelátvitelt. Válassza ezt a kiváló minőségű átalakítót, és élvezze a zavartalan kép- és hangminőséget minden alkalommal!</t>
        </is>
      </c>
    </row>
    <row r="1580">
      <c r="A1580" s="3" t="inlineStr">
        <is>
          <t>TSP 1911X</t>
        </is>
      </c>
      <c r="B1580" s="2" t="inlineStr">
        <is>
          <t>Home TSP 1911X F elosztó, 3 utas, SAT</t>
        </is>
      </c>
      <c r="C1580" s="1" t="n">
        <v>1690.0</v>
      </c>
      <c r="D1580" s="7" t="n">
        <f>HYPERLINK("https://www.somogyi.hu/product/home-tsp-1911x-f-eloszto-3-utas-sat-tsp-1911x-5506","https://www.somogyi.hu/product/home-tsp-1911x-f-eloszto-3-utas-sat-tsp-1911x-5506")</f>
        <v>0.0</v>
      </c>
      <c r="E1580" s="7" t="n">
        <f>HYPERLINK("https://www.somogyi.hu/data/img/product_main_images/small/05506.jpg","https://www.somogyi.hu/data/img/product_main_images/small/05506.jpg")</f>
        <v>0.0</v>
      </c>
      <c r="F1580" s="2" t="inlineStr">
        <is>
          <t>5998312748695</t>
        </is>
      </c>
      <c r="G1580" s="4" t="inlineStr">
        <is>
          <t>Hogyan oszthatja meg egyszerűen és hatékonyan a műholdas jelet több eszköz között? A Home TSP 1911X F elosztó ideális megoldást kínál azok számára, akik egy műholdas jel forrást szeretnének több eszközzel megosztani, anélkül hogy a jel minősége romlana. Ez a 3 utas elosztó egy bemenettel és három kimenettel rendelkezik, így egyszerűen biztosíthatja a műholdas jelet akár több televízió vagy egyéb eszköz számára.
Kiemelkedő teljesítmény és kompatibilitás
A Home TSP 1911X F elosztó 5-900 MHz-es frekvenciatartományban működik, amely optimális teljesítményt nyújt a legtöbb műholdas és kábeltelevíziós rendszerrel. A stabil jelátvitel garantálja a zavartalan vételt minden csatlakoztatott eszközön, legyen szó akár televízióról, set-top boxról vagy egyéb vevőegységről. A precízen kialakított csatlakozók megbízható kapcsolatot biztosítanak, így minimalizálva a jelveszteséget és a zavarokat.
Könnyű telepítés és praktikus kivitel
A 3 utas elosztó használata rendkívül egyszerű, így akár otthoni környezetben is könnyedén telepíthető. Az 1 db-os bliszteres csomagolás nemcsak védi a terméket a szállítás során, hanem megkönnyíti a tárolást is. Kompakt méretének köszönhetően helytakarékosan elfér a kábelek között, miközben stabilan rögzíthető a megfelelő csatlakozási pontokon.
Miért érdemes a Home TSP 1911X F elosztót választani?
- Optimális jelátvitelt biztosít a 5-900 MHz-es frekvenciatartománynak köszönhetően
- Három kimenet áll rendelkezésre, így egyszerűen megosztható a jel több eszköz között
- Kiváló minőségű csatlakozók garantálják a megbízható kapcsolatot és a minimális jelveszteséget
- Bliszteres csomagolásban érkezik, ami védi a terméket és könnyű kezelhetőséget biztosít
Ne engedje, hogy a több eszközre való csatlakoztatás nehézséget okozzon! A Home TSP 1911X F elosztó segítségével gyorsan és hatékonyan oszthatja meg a műholdas jelet, hogy minden eszközön élvezhesse a tökéletes vételt!</t>
        </is>
      </c>
    </row>
    <row r="1581">
      <c r="A1581" s="3" t="inlineStr">
        <is>
          <t>FS 19</t>
        </is>
      </c>
      <c r="B1581" s="2" t="inlineStr">
        <is>
          <t>Home FS 19 koax aljzat, fém + műanyag, erősített, csavarozható, egyenes kivitel</t>
        </is>
      </c>
      <c r="C1581" s="1" t="n">
        <v>139.0</v>
      </c>
      <c r="D1581" s="7" t="n">
        <f>HYPERLINK("https://www.somogyi.hu/product/home-fs-19-koax-aljzat-fem-muanyag-erositett-csavarozhato-egyenes-kivitel-fs-19-1774","https://www.somogyi.hu/product/home-fs-19-koax-aljzat-fem-muanyag-erositett-csavarozhato-egyenes-kivitel-fs-19-1774")</f>
        <v>0.0</v>
      </c>
      <c r="E1581" s="7" t="n">
        <f>HYPERLINK("https://www.somogyi.hu/data/img/product_main_images/small/01774.jpg","https://www.somogyi.hu/data/img/product_main_images/small/01774.jpg")</f>
        <v>0.0</v>
      </c>
      <c r="F1581" s="2" t="inlineStr">
        <is>
          <t>5998312702369</t>
        </is>
      </c>
      <c r="G1581" s="4" t="inlineStr">
        <is>
          <t>Megbízható kialakítású koax csatlakozót keres? Ez esetben tekintse meg csatlakozóink széles kínálatát! Az FS 19 erősített egyenes alakú lengő koax aljzat. A termék előnye, hogy csavarazható kivitelben kapható. Válassza a minőségi termékeket és rendeljen webáruházunkból.</t>
        </is>
      </c>
    </row>
    <row r="1582">
      <c r="A1582" s="3" t="inlineStr">
        <is>
          <t>FST 2X</t>
        </is>
      </c>
      <c r="B1582" s="2" t="inlineStr">
        <is>
          <t>Home FST 2X koax aljzat, fém, kábelre tekerhető</t>
        </is>
      </c>
      <c r="C1582" s="1" t="n">
        <v>649.0</v>
      </c>
      <c r="D1582" s="7" t="n">
        <f>HYPERLINK("https://www.somogyi.hu/product/home-fst-2x-koax-aljzat-fem-kabelre-tekerheto-fst-2x-2785","https://www.somogyi.hu/product/home-fst-2x-koax-aljzat-fem-kabelre-tekerheto-fst-2x-2785")</f>
        <v>0.0</v>
      </c>
      <c r="E1582" s="7" t="n">
        <f>HYPERLINK("https://www.somogyi.hu/data/img/product_main_images/small/02785.jpg","https://www.somogyi.hu/data/img/product_main_images/small/02785.jpg")</f>
        <v>0.0</v>
      </c>
      <c r="F1582" s="2" t="inlineStr">
        <is>
          <t>5998312731093</t>
        </is>
      </c>
      <c r="G1582" s="4" t="inlineStr">
        <is>
          <t>Hogyan biztosíthatja a zavartalan jelátvitelt koaxiális rendszerein, gyorsan és megbízhatóan?
A Home FST 2X koax aljzat tökéletes megoldást kínál televíziók, Set Top Boxok és más koaxiális eszközök csatlakoztatásához. A strapabíró, fémházas kialakítás és az RG 6-os kábelre tekerhető bekötési rendszer lehetővé teszi a stabil és hosszú távon megbízható csatlakozást, miközben garantálja a kiváló jelátvitelt. Ideális választás mind otthoni, mind professzionális felhasználásra, különösen akkor, ha gyorsan és biztonságosan szeretné megoldani a kábelek csatlakoztatását.
Egyszerű és gyors telepítés tekerhető rögzítéssel
A tekerhető bekötési rendszer lehetővé teszi, hogy a koax aljzatot szerszámok nélkül, egyszerűen és gyorsan rögzítse az RG 6-os kábelre. Ez a megoldás nemcsak leegyszerűsíti a telepítési folyamatot, hanem biztosítja a stabil csatlakozást is, amely elengedhetetlen a zavartalan működéshez. Az így kialakított kapcsolat minimalizálja a jelvesztés kockázatát, így garantálva a tiszta kép- és hangminőséget.
Tartós és megbízható fémházas kialakítás
A koax aljzat strapabíró fémháza hosszú élettartamot biztosít, miközben hatékony védelmet nyújt a külső elektromágneses zavarokkal szemben. A masszív fémház ellenáll a mechanikai sérüléseknek, így a termék kiválóan alkalmazható akár intenzív igénybevétel esetén is. Az árnyékolás révén a jelminőség még nagyobb távolság esetén is kifogástalan marad.
Bliszteres csomagolás a biztonságos szállításért
A Home FST 2X koax aljzat bliszteres csomagolásban érkezik, amely védi a terméket a szállítás és tárolás során fellépő sérülésektől. Ez a praktikus csomagolási forma megkönnyíti a termék rendszerezését és azonnali beazonosítását is.
Miért érdemes a Home FST 2X koax aljzatot választani?
– Tekerhető bekötési rendszer, amely gyors és szerszám nélküli telepítést biztosít 
– Fémházas kivitel a hosszú élettartam és hatékony árnyékolás érdekében 
– Ideális televíziók, Set Top Boxok és egyéb koaxiális eszközök csatlakoztatására 
– Bliszteres csomagolás a sérülésmentes tárolás és szállítás érdekében 
– Megbízható kapcsolatot biztosít a kiváló kép- és hangminőség fenntartásához
A Home FST 2X koax aljzat segítségével egyszerűen és megbízhatóan csatlakoztathatja koaxiális rendszereit, így biztosítva a tökéletes jelátvitelt minden helyzetben. Válassza ezt a könnyen telepíthető, tartós megoldást, és élvezze a zavartalan működést hosszú távon!</t>
        </is>
      </c>
    </row>
    <row r="1583">
      <c r="A1583" s="3" t="inlineStr">
        <is>
          <t>FST 2</t>
        </is>
      </c>
      <c r="B1583" s="2" t="inlineStr">
        <is>
          <t>Home FST 2 koax aljzat, fém, RG 6 kábelre tekerhető, egyenes kivitel</t>
        </is>
      </c>
      <c r="C1583" s="1" t="n">
        <v>559.0</v>
      </c>
      <c r="D1583" s="7" t="n">
        <f>HYPERLINK("https://www.somogyi.hu/product/home-fst-2-koax-aljzat-fem-rg-6-kabelre-tekerheto-egyenes-kivitel-fst-2-1790","https://www.somogyi.hu/product/home-fst-2-koax-aljzat-fem-rg-6-kabelre-tekerheto-egyenes-kivitel-fst-2-1790")</f>
        <v>0.0</v>
      </c>
      <c r="E1583" s="7" t="n">
        <f>HYPERLINK("https://www.somogyi.hu/data/img/product_main_images/small/01790.jpg","https://www.somogyi.hu/data/img/product_main_images/small/01790.jpg")</f>
        <v>0.0</v>
      </c>
      <c r="F1583" s="2" t="inlineStr">
        <is>
          <t>5998312702536</t>
        </is>
      </c>
      <c r="G1583" s="4" t="inlineStr">
        <is>
          <t>Megbízható kialakítású koax csatlakozót keres? Ez esetben tekintse meg csatlakozóink széles kínálatát! Az FST 2 masszív fém kábelre tekerhető lengő koax aljzat, amely közvetlenül RG 6-os típushoz ajánlott. Válassza a minőségi termékeket és rendeljen webáruházunkból.</t>
        </is>
      </c>
    </row>
    <row r="1584">
      <c r="A1584" s="3" t="inlineStr">
        <is>
          <t>FS 1X</t>
        </is>
      </c>
      <c r="B1584" s="2" t="inlineStr">
        <is>
          <t>Home FS 1X koax dugó, pipa, csavarozható</t>
        </is>
      </c>
      <c r="C1584" s="1" t="n">
        <v>369.0</v>
      </c>
      <c r="D1584" s="7" t="n">
        <f>HYPERLINK("https://www.somogyi.hu/product/home-fs-1x-koax-dugo-pipa-csavarozhato-fs-1x-2193","https://www.somogyi.hu/product/home-fs-1x-koax-dugo-pipa-csavarozhato-fs-1x-2193")</f>
        <v>0.0</v>
      </c>
      <c r="E1584" s="7" t="n">
        <f>HYPERLINK("https://www.somogyi.hu/data/img/product_main_images/small/02193.jpg","https://www.somogyi.hu/data/img/product_main_images/small/02193.jpg")</f>
        <v>0.0</v>
      </c>
      <c r="F1584" s="2" t="inlineStr">
        <is>
          <t>5998312724583</t>
        </is>
      </c>
      <c r="G1584" s="4" t="inlineStr">
        <is>
          <t>Hogyan oldhatja meg a szűk helyeken történő koaxiális csatlakoztatást gyorsan és hatékonyan?
A Home FS 1X koax dugó ideális választás, ha televíziók, Set Top Boxok vagy műholdvevők csatlakoztatásához szűk helyen kell elhelyeznie a kábeleket. A pipa kialakítású csatlakozó lehetővé teszi a helytakarékos csatlakoztatást, miközben a stabil és biztonságos jelátvitelről is gondoskodik. A csavaros rögzítési rendszer egyszerű és megbízható megoldást nyújt mind otthoni, mind professzionális felhasználásra.
Pipa kialakítás a helytakarékosság érdekében
A koax dugó pipa alakú kialakítása lehetővé teszi a kábelek elvezetését olyan helyeken is, ahol a hagyományos egyenes csatlakozók nem férnek el megfelelően. Ez különösen előnyös, ha a készülékeket a falhoz közel helyezte el, hiszen a pipa kialakítás révén a kábelek biztonságosan csatlakoztathatók anélkül, hogy megtörnének vagy megsérülnének.
Strapabíró műanyag ház és csavarozható bekötés
A csatlakozó strapabíró műanyag házzal rendelkezik, amely ellenáll a mindennapos használat során fellépő mechanikai igénybevételnek. A csavaros bekötési rendszer biztosítja a stabil rögzítést, így minimalizálja a kontaktushibák és a jelvesztés kockázatát. Ezáltal garantált a zavartalan kép- és hangminőség.
Praktikus bliszteres csomagolás
A Home FS 1X koax dugó bliszteres csomagolásban érkezik, amely védi a terméket a sérülésektől szállítás és tárolás közben. Ez a csomagolási forma egyszerűbbé teszi a rendszerezést is, így a termék mindig könnyen elérhető és sérülésmentesen használható marad.
Miért érdemes a Home FS 1X koax dugót választani?
– Pipa alakú kivitel a helytakarékos csatlakoztatásért szűk helyeken 
– Csavarozható bekötési rendszer, amely gyors és stabil csatlakozást biztosít 
– Strapabíró műanyag ház, amely ellenáll a mindennapos igénybevételnek 
– Kiválóan alkalmas televíziók, Set Top Boxok és műholdvevők csatlakoztatására 
– Bliszteres csomagolás a sérülésmentes tárolás és szállítás érdekében
A Home FS 1X koax dugó segítségével szűk helyeken is egyszerűen és biztonságosan hozhat létre stabil koaxiális csatlakozást, miközben megőrzi a kiváló jelminőséget. Válassza ezt a helytakarékos és megbízható csatlakozót, hogy minden környezetben biztosítsa a zavartalan működést!</t>
        </is>
      </c>
    </row>
    <row r="1585">
      <c r="A1585" s="3" t="inlineStr">
        <is>
          <t>FS 18X</t>
        </is>
      </c>
      <c r="B1585" s="2" t="inlineStr">
        <is>
          <t>Home FS 18X koax dugó, csavaros</t>
        </is>
      </c>
      <c r="C1585" s="1" t="n">
        <v>379.0</v>
      </c>
      <c r="D1585" s="7" t="n">
        <f>HYPERLINK("https://www.somogyi.hu/product/home-fs-18x-koax-dugo-csavaros-fs-18x-2191","https://www.somogyi.hu/product/home-fs-18x-koax-dugo-csavaros-fs-18x-2191")</f>
        <v>0.0</v>
      </c>
      <c r="E1585" s="7" t="n">
        <f>HYPERLINK("https://www.somogyi.hu/data/img/product_main_images/small/02191.jpg","https://www.somogyi.hu/data/img/product_main_images/small/02191.jpg")</f>
        <v>0.0</v>
      </c>
      <c r="F1585" s="2" t="inlineStr">
        <is>
          <t>5998312724569</t>
        </is>
      </c>
      <c r="G1585" s="4" t="inlineStr">
        <is>
          <t>Hogyan biztosíthatja egyszerűen a stabil koaxiális csatlakozást televíziójához vagy Set Top Boxához?
A Home FS 18X koax dugó praktikus megoldást kínál a koaxiális kábelek gyors és biztonságos csatlakoztatásához. A strapabíró, mégis könnyű műanyag ház és a csavaros bekötési rendszer lehetővé teszi a stabil rögzítést, amely elengedhetetlen a zavartalan jelátvitelhez. Ideális választás televíziók, kábeltévés rendszerek, műholdvevők és egyéb koaxiális csatlakozást igénylő eszközök számára.
Stabil csatlakozás csavaros rögzítéssel
A csatlakozó csavaros rögzítése biztosítja, hogy a koaxiális kábel szilárdan illeszkedjen, ezzel garantálva a hosszú távú, megbízható kapcsolatot. Ez a megoldás nemcsak stabil jelátvitelt nyújt, hanem megakadályozza a kilazulást is, így csökkenti a jelvesztés kockázatát.
Könnyű és tartós műanyag ház
A koax dugó strapabíró műanyag házzal készült, amely ellenáll a mindennapos használat során fellépő igénybevételnek. A könnyű anyaghasználat megkönnyíti a szerelést, miközben megfelelő védelmet nyújt a csatlakozónak a sérülésekkel szemben.
Egyszerű használat és biztonságos csomagolás
A Home FS 18X koax dugó bliszteres csomagolásban érkezik, amely megóvja a terméket a szállítás és tárolás során fellépő sérülésektől. Az egyszerű bekötésnek köszönhetően a telepítés gyors és problémamentes, így akár szakmai segítség nélkül is könnyedén elvégezhető.
Miért válassza a Home FS 18X koax dugót?
– Csavaros rögzítés a biztos és stabil csatlakozás érdekében 
– Műanyag házas kivitel, amely könnyű, mégis tartós 
– Kiválóan alkalmas televíziók, Set Top Boxok és műholdas rendszerek csatlakoztatására 
– Bliszteres csomagolás a biztonságos szállításért és tárolásért 
– Egyszerű telepítés, amelyhez nincs szükség különleges eszközökre
A Home FS 18X koax dugó segítségével garantáltan megbízható és stabil csatlakozást biztosíthat koaxiális rendszereihez. Válassza ezt a könnyen szerelhető és hosszú élettartamú csatlakozót, és élvezze a zavartalan kép- és hangminőséget minden alkalommal!</t>
        </is>
      </c>
    </row>
    <row r="1586">
      <c r="A1586" s="3" t="inlineStr">
        <is>
          <t>TSX 1913</t>
        </is>
      </c>
      <c r="B1586" s="2" t="inlineStr">
        <is>
          <t>Home TSX 1913 F elosztó, HQ professzionális minőség, 75 Ohm, IP44, cink-ötvözet konstrukció, 5-2400 MHz, 4 utas, 1 bemenet, 4 kimenet</t>
        </is>
      </c>
      <c r="C1586" s="1" t="n">
        <v>2590.0</v>
      </c>
      <c r="D1586" s="7" t="n">
        <f>HYPERLINK("https://www.somogyi.hu/product/home-tsx-1913-f-eloszto-hq-professzionalis-minoseg-75-ohm-ip44-cink-otvozet-konstrukcio-5-2400-mhz-4-utas-1-bemenet-4-kimenet-tsx-1913-17977","https://www.somogyi.hu/product/home-tsx-1913-f-eloszto-hq-professzionalis-minoseg-75-ohm-ip44-cink-otvozet-konstrukcio-5-2400-mhz-4-utas-1-bemenet-4-kimenet-tsx-1913-17977")</f>
        <v>0.0</v>
      </c>
      <c r="E1586" s="7" t="n">
        <f>HYPERLINK("https://www.somogyi.hu/data/img/product_main_images/small/17977.jpg","https://www.somogyi.hu/data/img/product_main_images/small/17977.jpg")</f>
        <v>0.0</v>
      </c>
      <c r="F1586" s="2" t="inlineStr">
        <is>
          <t>5999084959999</t>
        </is>
      </c>
      <c r="G1586" s="4" t="inlineStr">
        <is>
          <t>Több eszközt csatlakoztatna egyszerre, anélkül, hogy a jel minősége romlana? A Home TSX 1913 F elosztó professzionális megoldást kínál azoknak, akik egyetlen bemenetről szeretnének több eszközt stabil jelátvitellel ellátni. 
Ez a 4 utas elosztó biztosítja, hogy akár 4 különböző eszköz is egyszerre kapjon jelet anélkül, hogy a jel minősége romlana. A 5-2400 MHz-es szélessávú jelátvitel biztosítja a zavarmentes működést, legyen szó televízióról, rádióról vagy bármilyen más hálózati eszközről. A 75 Ohm impedancia garantálja a kiváló jelminőséget, míg a feszültségbemeneti lehetőség a kimeneteken keresztül további rugalmasságot nyújt a távtápláláshoz, akár 15 V / 1A értékben. 
Az elosztó robusztus cink-ötvözet konstrukciója hosszú távú megbízhatóságot biztosít, míg az IP44 vízállóság révén kültéri használatra is alkalmas. Az elosztó felcsavarozható kialakítással rendelkezik, és a szükséges szerelési csavarokat is tartalmazza a csomag, így gyorsan és egyszerűen telepíthető. A 1 bemenet és 4 kimenet különösen ideális, ha egyszerre több készüléket szeretne csatlakoztatni, például otthoni szórakoztató rendszereknél vagy komplex hálózatoknál.
Ne hagyja, hogy a korlátozott csatlakozási lehetőségek megakadályozzák a fejlesztést! Válassza a Home TSX 1913 F elosztót, és élvezze a zavartalan jelátvitelt akár 4 eszközre is.</t>
        </is>
      </c>
    </row>
    <row r="1587">
      <c r="A1587" s="3" t="inlineStr">
        <is>
          <t>FS 2X</t>
        </is>
      </c>
      <c r="B1587" s="2" t="inlineStr">
        <is>
          <t>Home FS 2X pipa koax aljzat, csavarozható</t>
        </is>
      </c>
      <c r="C1587" s="1" t="n">
        <v>369.0</v>
      </c>
      <c r="D1587" s="7" t="n">
        <f>HYPERLINK("https://www.somogyi.hu/product/home-fs-2x-pipa-koax-aljzat-csavarozhato-fs-2x-2439","https://www.somogyi.hu/product/home-fs-2x-pipa-koax-aljzat-csavarozhato-fs-2x-2439")</f>
        <v>0.0</v>
      </c>
      <c r="E1587" s="7" t="n">
        <f>HYPERLINK("https://www.somogyi.hu/data/img/product_main_images/small/02439.jpg","https://www.somogyi.hu/data/img/product_main_images/small/02439.jpg")</f>
        <v>0.0</v>
      </c>
      <c r="F1587" s="2" t="inlineStr">
        <is>
          <t>5998312727485</t>
        </is>
      </c>
      <c r="G1587" s="4" t="inlineStr">
        <is>
          <t>Hogyan csatlakoztathatja koaxiális kábeleit szűk helyeken anélkül, hogy a kábelek megtörnének vagy megsérülnének?
A Home FS 2X pipa koax aljzat ideális megoldást kínál olyan helyzetekben, amikor a hagyományos, egyenes csatlakozók nem férnek el kényelmesen. A pipa alakú kialakítás lehetővé teszi a helytakarékos csatlakoztatást, miközben biztosítja a zavartalan jelátvitelt. Ez a csavarozható koax aljzat kiváló választás televíziók, Set Top Boxok és más koaxiális bemenetű eszközök összekapcsolására, különösen szűk helyeken.
Pipa kialakítás a szűk helyekhez
A speciális pipa forma lehetővé teszi, hogy a csatlakozó és a kábel szorosan illeszkedjen a falhoz vagy a bútorok mögé anélkül, hogy megtörnének. Ezáltal nemcsak helyet takaríthat meg, hanem a kábelek élettartamát is meghosszabbíthatja, mivel a pipa kialakítás csökkenti a mechanikai terhelést.
Strapabíró műanyag ház és csavaros bekötés
A koax aljzat strapabíró műanyag házzal készül, amely könnyű, mégis ellenáll a mindennapos használat során fellépő igénybevételnek. A csavaros rögzítési rendszer gyors és egyszerű szerelést tesz lehetővé, miközben biztosítja a stabil csatlakoztatást, ezáltal minimalizálva a jelvesztést és a kontaktushibák kockázatát. Az aljzat megbízható kapcsolatot biztosít, így mindig kiváló minőségű jelátvitel érhető el.
Bliszteres csomagolás a biztonságos tárolásért
A bliszteres csomagolás megóvja a terméket a szállítás és tárolás során fellépő sérülésektől, így garantálva, hogy a csatlakozó mindig kifogástalan állapotban érkezik meg Önhöz. Ez a praktikus csomagolás nemcsak védi a terméket, hanem megkönnyíti annak rendszerezését és azonnali használatát is.
Miért válassza a Home FS 2X pipa koax aljzatot?
– Pipa alakú kialakítás, amely helytakarékos megoldást kínál szűk helyeken 
– Strapabíró, könnyű műanyag ház a hosszú élettartam érdekében 
– Csavaros bekötési rendszer, amely gyors és stabil csatlakoztatást biztosít 
– Kiválóan alkalmazható televíziók, Set Top Boxok és egyéb koaxiális eszközök csatlakoztatására 
– Bliszteres csomagolás a biztonságos szállítás és tárolás érdekében
A Home FS 2X pipa koax aljzat ideális választás, ha stabil, helytakarékos és könnyen telepíthető csatlakozóra van szüksége koaxiális rendszereihez. Válassza ezt a praktikus megoldást, és élvezze a zavartalan kép- és hangminőséget minden alkalommal!</t>
        </is>
      </c>
    </row>
    <row r="1588">
      <c r="A1588" s="3" t="inlineStr">
        <is>
          <t>FS 1819X</t>
        </is>
      </c>
      <c r="B1588" s="2" t="inlineStr">
        <is>
          <t>Home FS 1819X 1 db koax dugó + 1 db koax aljzat, csavarozható</t>
        </is>
      </c>
      <c r="C1588" s="1" t="n">
        <v>379.0</v>
      </c>
      <c r="D1588" s="7" t="n">
        <f>HYPERLINK("https://www.somogyi.hu/product/home-fs-1819x-1-db-koax-dugo-1-db-koax-aljzat-csavarozhato-fs-1819x-2192","https://www.somogyi.hu/product/home-fs-1819x-1-db-koax-dugo-1-db-koax-aljzat-csavarozhato-fs-1819x-2192")</f>
        <v>0.0</v>
      </c>
      <c r="E1588" s="7" t="n">
        <f>HYPERLINK("https://www.somogyi.hu/data/img/product_main_images/small/02192.jpg","https://www.somogyi.hu/data/img/product_main_images/small/02192.jpg")</f>
        <v>0.0</v>
      </c>
      <c r="F1588" s="2" t="inlineStr">
        <is>
          <t>5998312724576</t>
        </is>
      </c>
      <c r="G1588" s="4" t="inlineStr">
        <is>
          <t>Hogyan oldhatja meg egyszerűen és gyorsan a koaxiális csatlakoztatást televíziója vagy más eszközei számára?
A Home FS 1819X csatlakozókészlet tökéletes megoldást nyújt televíziók, Set Top Boxok és egyéb koaxiális rendszerek csatlakoztatásához. A szett tartalmaz 1 db koax dugót és 1 db koax aljzatot, amelyek megbízható kapcsolatot biztosítanak, miközben a csavaros bekötési rendszer garantálja a stabil és tartós csatlakozást. Ideális választás mind otthoni, mind professzionális felhasználásra, ahol fontos a zavartalan jelátvitel.
Praktikus kialakítás és egyszerű bekötés
A csatlakozók csavaros rögzítési rendszerrel rendelkeznek, amely lehetővé teszi a könnyű és gyors szerelést, anélkül hogy speciális szerszámokra lenne szükség. A csavaros bekötés biztosítja, hogy a koaxiális kábelek stabilan rögzüljenek, így csökkentve a kontaktushibák és jelvesztés kockázatát.
Tartós műanyag ház a hosszú távú használatért
A csatlakozók strapabíró, műanyag házzal rendelkeznek, amely ellenáll a mindennapos használat során fellépő mechanikai igénybevételnek. A minőségi anyaghasználat biztosítja a hosszú élettartamot, miközben könnyű súlya megkönnyíti a telepítést és a kezelést.
Bliszteres csomagolás a biztonságos tárolásért
A bliszteres csomagolás megvédi a csatlakozókat a szállítás és tárolás során fellépő sérülésektől, így biztosítva, hogy a termék mindig kifogástalan állapotban érkezzen meg a felhasználóhoz. Ez különösen fontos, ha a terméket hosszabb ideig tárolják, mielőtt felhasználásra kerülne.
Miért érdemes a Home FS 1819X csatlakozókészletet választani?
– 1 db koax dugó és 1 db koax aljzat a teljes körű csatlakoztatáshoz 
– Csavaros rögzítési rendszer a gyors és stabil bekötés érdekében 
– Strapabíró, könnyű műanyag ház a hosszú élettartamért 
– Bliszteres csomagolás a sérülésmentes szállítás és tárolás érdekében 
– Ideális televíziók, Set Top Boxok és egyéb koaxiális eszközök csatlakoztatására
A Home FS 1819X csatlakozókészlet segítségével gyorsan és biztonságosan létrehozhatja a szükséges koaxiális csatlakozásokat, így biztosítva a kiváló kép- és hangminőséget. Válassza ezt a könnyen szerelhető és megbízható megoldást, hogy minden helyzetben stabil kapcsolatot garantáljon eszközei számára!</t>
        </is>
      </c>
    </row>
    <row r="1589">
      <c r="A1589" s="3" t="inlineStr">
        <is>
          <t>TS 1911</t>
        </is>
      </c>
      <c r="B1589" s="2" t="inlineStr">
        <is>
          <t>Home TS 1911 F elosztó, 3 utas</t>
        </is>
      </c>
      <c r="C1589" s="1" t="n">
        <v>279.0</v>
      </c>
      <c r="D1589" s="7" t="n">
        <f>HYPERLINK("https://www.somogyi.hu/product/home-ts-1911-f-eloszto-3-utas-ts-1911-1935","https://www.somogyi.hu/product/home-ts-1911-f-eloszto-3-utas-ts-1911-1935")</f>
        <v>0.0</v>
      </c>
      <c r="E1589" s="7" t="n">
        <f>HYPERLINK("https://www.somogyi.hu/data/img/product_main_images/small/01935.jpg","https://www.somogyi.hu/data/img/product_main_images/small/01935.jpg")</f>
        <v>0.0</v>
      </c>
      <c r="F1589" s="2" t="inlineStr">
        <is>
          <t>5998312705384</t>
        </is>
      </c>
      <c r="G1589" s="4" t="inlineStr">
        <is>
          <t>Hogyan csatlakoztathatja egyetlen kábelre egyszerre három különböző készülékét anélkül, hogy a jelminőség romlana? A Home TS 1911 F elosztó tökéletes választás azok számára, akik egyszerre több eszköz – például televízió, beltéri egység vagy internetmodem – csatlakoztatásával szeretnék bővíteni otthoni vagy irodai hálózatukat. A 3 utas elosztó megbízható kapcsolatot és stabil jelátvitelt biztosít.
Miért érdemes a Home TS 1911 F elosztót választani?
- 3 eszköz egyidejű csatlakoztatására alkalmas: Az elosztó egyetlen „F” bemenettel és három „F” kimenettel rendelkezik, így egyszerre három különböző készülék csatlakoztatását teszi lehetővé, anélkül, hogy külön kábeleket kellene kihúznia vagy cserélgetnie.
- Kiváló frekvenciaátvitel 5–900 MHz tartományban: Az elosztó széles frekvenciatartományban működik, így kiválóan alkalmas televíziós jelek, műholdas jelek és internetes adatkapcsolatok továbbítására is.
- Masszív fém ház a hosszú élettartamért: A tartós fém burkolat nemcsak a mechanikai sérülésektől védi az elosztót, hanem a külső elektromágneses interferencia ellen is hatékony védelmet nyújt, ami javítja a jel minőségét.
- Kompakt és diszkrét kialakítás: Kis méretének köszönhetően könnyen elhelyezhető szűk helyeken is, így nem foglal sok helyet a kábelezés során.
Főbb jellemzők:
- Csatlakozók: „F” bemenet / 3 x „F” kimenet
- Ház anyaga: Fém
- Frekvenciaátvitel: 5–900 MHz
- Tartós és strapabíró kialakítás
A Home TS 1911 F elosztó praktikus választás minden olyan háztartás vagy iroda számára, ahol több készüléket kell egyidejűleg csatlakoztatni ugyanarra a kábelre. A kiváló minőségű jelátvitel és a masszív, tartós fém ház garantálja a hosszú távú megbízhatóságot, miközben a használata rendkívül egyszerű. Ha fontos Önnek a tiszta jel és a stabil kapcsolat, ez az elosztó remek megoldást nyújt!</t>
        </is>
      </c>
    </row>
    <row r="1590">
      <c r="A1590" s="3" t="inlineStr">
        <is>
          <t>FF 1/PRO</t>
        </is>
      </c>
      <c r="B1590" s="2" t="inlineStr">
        <is>
          <t>Home FF1/PRO F csatlakozódugó, fém, erősített, RG 6 kábelre tekerhető, egyenes kivitel</t>
        </is>
      </c>
      <c r="C1590" s="1" t="n">
        <v>169.0</v>
      </c>
      <c r="D1590" s="7" t="n">
        <f>HYPERLINK("https://www.somogyi.hu/product/home-ff1-pro-f-csatlakozodugo-fem-erositett-rg-6-kabelre-tekerheto-egyenes-kivitel-ff-1-pro-7434","https://www.somogyi.hu/product/home-ff1-pro-f-csatlakozodugo-fem-erositett-rg-6-kabelre-tekerheto-egyenes-kivitel-ff-1-pro-7434")</f>
        <v>0.0</v>
      </c>
      <c r="E1590" s="7" t="n">
        <f>HYPERLINK("https://www.somogyi.hu/data/img/product_main_images/small/07434.jpg","https://www.somogyi.hu/data/img/product_main_images/small/07434.jpg")</f>
        <v>0.0</v>
      </c>
      <c r="F1590" s="2" t="inlineStr">
        <is>
          <t>5998312764220</t>
        </is>
      </c>
      <c r="G1590" s="4" t="inlineStr">
        <is>
          <t>Keresse az igényeinek megfelelő koax csatlakozókat! Az FF 1/PRO magas minőségű fém alapanyagú F dugó az RG 6 kábelhez ajánlott. Válassza a minőségi termékeket és rendeljen webáruházunkból.</t>
        </is>
      </c>
    </row>
    <row r="1591">
      <c r="A1591" s="3" t="inlineStr">
        <is>
          <t>FF 19</t>
        </is>
      </c>
      <c r="B1591" s="2" t="inlineStr">
        <is>
          <t>Home FF 19 csatlakozó átalakító, koax aljzat-F aljzat, fém, csavarható, egyenes kivitel</t>
        </is>
      </c>
      <c r="C1591" s="1" t="n">
        <v>499.0</v>
      </c>
      <c r="D1591" s="7" t="n">
        <f>HYPERLINK("https://www.somogyi.hu/product/home-ff-19-csatlakozo-atalakito-koax-aljzat-f-aljzat-fem-csavarhato-egyenes-kivitel-ff-19-1984","https://www.somogyi.hu/product/home-ff-19-csatlakozo-atalakito-koax-aljzat-f-aljzat-fem-csavarhato-egyenes-kivitel-ff-19-1984")</f>
        <v>0.0</v>
      </c>
      <c r="E1591" s="7" t="n">
        <f>HYPERLINK("https://www.somogyi.hu/data/img/product_main_images/small/01984.jpg","https://www.somogyi.hu/data/img/product_main_images/small/01984.jpg")</f>
        <v>0.0</v>
      </c>
      <c r="F1591" s="2" t="inlineStr">
        <is>
          <t>5998312711828</t>
        </is>
      </c>
      <c r="G1591" s="4" t="inlineStr">
        <is>
          <t>Széles kínálatunkban garantáltan megtalálhatja az igényeinek megfelelő csatlakozókat és átalakítókat! Az FF 19 fém kialakítással rendelkező átalakító Koax aljzattal és F aljzattal. Válassza a minőségi termékeket és rendeljen webáruházunkból.</t>
        </is>
      </c>
    </row>
    <row r="1592">
      <c r="A1592" s="3" t="inlineStr">
        <is>
          <t>FS 28</t>
        </is>
      </c>
      <c r="B1592" s="2" t="inlineStr">
        <is>
          <t>Home FS 28 koax elosztó, 1 dugó, 2 aljzat, "T" alak</t>
        </is>
      </c>
      <c r="C1592" s="1" t="n">
        <v>729.0</v>
      </c>
      <c r="D1592" s="7" t="n">
        <f>HYPERLINK("https://www.somogyi.hu/product/home-fs-28-koax-eloszto-1-dugo-2-aljzat-t-alak-fs-28-1780","https://www.somogyi.hu/product/home-fs-28-koax-eloszto-1-dugo-2-aljzat-t-alak-fs-28-1780")</f>
        <v>0.0</v>
      </c>
      <c r="E1592" s="7" t="n">
        <f>HYPERLINK("https://www.somogyi.hu/data/img/product_main_images/small/01780.jpg","https://www.somogyi.hu/data/img/product_main_images/small/01780.jpg")</f>
        <v>0.0</v>
      </c>
      <c r="F1592" s="2" t="inlineStr">
        <is>
          <t>5998312702420</t>
        </is>
      </c>
      <c r="G1592" s="4" t="inlineStr">
        <is>
          <t>Megbízható kialakítású koax csatlakozót keres? Ez esetben tekintse meg csatlakozóink széles kínálatát! Az FS 28 „T” alakú fém koax elosztó 1 db dugóból és 2 db aljzattal rendelkezik. Válassza a minőségi termékeket és rendeljen webáruházunkból.</t>
        </is>
      </c>
    </row>
    <row r="1593">
      <c r="A1593" s="3" t="inlineStr">
        <is>
          <t>FS 18</t>
        </is>
      </c>
      <c r="B1593" s="2" t="inlineStr">
        <is>
          <t>Home FS 18 koax dugó, fém + műanyag, erősített, csavarozható, egyenes kivitel</t>
        </is>
      </c>
      <c r="C1593" s="1" t="n">
        <v>139.0</v>
      </c>
      <c r="D1593" s="7" t="n">
        <f>HYPERLINK("https://www.somogyi.hu/product/home-fs-18-koax-dugo-fem-muanyag-erositett-csavarozhato-egyenes-kivitel-fs-18-1990","https://www.somogyi.hu/product/home-fs-18-koax-dugo-fem-muanyag-erositett-csavarozhato-egyenes-kivitel-fs-18-1990")</f>
        <v>0.0</v>
      </c>
      <c r="E1593" s="7" t="n">
        <f>HYPERLINK("https://www.somogyi.hu/data/img/product_main_images/small/01990.jpg","https://www.somogyi.hu/data/img/product_main_images/small/01990.jpg")</f>
        <v>0.0</v>
      </c>
      <c r="F1593" s="2" t="inlineStr">
        <is>
          <t>5998312712351</t>
        </is>
      </c>
      <c r="G1593" s="4" t="inlineStr">
        <is>
          <t>Megbízható kialakítású koax csatlakozót keres? Ez esetben tekintse meg csatlakozóink széles kínálatát! Az FS 18 erősített egyenes alakú lengő koax dugó. A termék előnye, hogy csavarozható kivitelben kapható. Válassza a minőségi termékeket és rendeljen webáruházunkból.</t>
        </is>
      </c>
    </row>
    <row r="1594">
      <c r="A1594" s="3" t="inlineStr">
        <is>
          <t>FST 1</t>
        </is>
      </c>
      <c r="B1594" s="2" t="inlineStr">
        <is>
          <t>Home FST 1 koax dugó, fém, RG 6 kábelre tekerhető, egyenes kivitel</t>
        </is>
      </c>
      <c r="C1594" s="1" t="n">
        <v>559.0</v>
      </c>
      <c r="D1594" s="7" t="n">
        <f>HYPERLINK("https://www.somogyi.hu/product/home-fst-1-koax-dugo-fem-rg-6-kabelre-tekerheto-egyenes-kivitel-fst-1-2380","https://www.somogyi.hu/product/home-fst-1-koax-dugo-fem-rg-6-kabelre-tekerheto-egyenes-kivitel-fst-1-2380")</f>
        <v>0.0</v>
      </c>
      <c r="E1594" s="7" t="n">
        <f>HYPERLINK("https://www.somogyi.hu/data/img/product_main_images/small/02380.jpg","https://www.somogyi.hu/data/img/product_main_images/small/02380.jpg")</f>
        <v>0.0</v>
      </c>
      <c r="F1594" s="2" t="inlineStr">
        <is>
          <t>5998312726877</t>
        </is>
      </c>
      <c r="G1594" s="4" t="inlineStr">
        <is>
          <t>Megbízható kialakítású koax csatlakozót keres? Ez esetben tekintse meg csatlakozóink széles kínálatát! Az FST 1 egy masszív fém alakú lengő koax dugó, amely közvetlenül RG 6-os kábelre tekerhető. Válassza a minőségi termékeket és rendeljen webáruházunkból.</t>
        </is>
      </c>
    </row>
    <row r="1595">
      <c r="A1595" s="3" t="inlineStr">
        <is>
          <t>FF 21</t>
        </is>
      </c>
      <c r="B1595" s="2" t="inlineStr">
        <is>
          <t>Home FF21 F csatlakozódugó, fém, KH 3 kábelre tekerhető, egyenes kivitel</t>
        </is>
      </c>
      <c r="C1595" s="1" t="n">
        <v>189.0</v>
      </c>
      <c r="D1595" s="7" t="n">
        <f>HYPERLINK("https://www.somogyi.hu/product/home-ff21-f-csatlakozodugo-fem-kh-3-kabelre-tekerheto-egyenes-kivitel-ff-21-4844","https://www.somogyi.hu/product/home-ff21-f-csatlakozodugo-fem-kh-3-kabelre-tekerheto-egyenes-kivitel-ff-21-4844")</f>
        <v>0.0</v>
      </c>
      <c r="E1595" s="7" t="n">
        <f>HYPERLINK("https://www.somogyi.hu/data/img/product_main_images/small/04844.jpg","https://www.somogyi.hu/data/img/product_main_images/small/04844.jpg")</f>
        <v>0.0</v>
      </c>
      <c r="F1595" s="2" t="inlineStr">
        <is>
          <t>5998312742822</t>
        </is>
      </c>
      <c r="G1595" s="4" t="inlineStr">
        <is>
          <t>Keresse az igényeinek megfelelő koax csatlakozókat! Az FF 21 fém alapanyagú F dugó a KH 3 kábelhez ajánlott. Válassza a minőségi termékeket és rendeljen webáruházunkból.</t>
        </is>
      </c>
    </row>
    <row r="1596">
      <c r="A1596" s="3" t="inlineStr">
        <is>
          <t>FS 15</t>
        </is>
      </c>
      <c r="B1596" s="2" t="inlineStr">
        <is>
          <t>Home FS 15 koax aljzat, fém, csavarozható, egyenes kivitel</t>
        </is>
      </c>
      <c r="C1596" s="1" t="n">
        <v>429.0</v>
      </c>
      <c r="D1596" s="7" t="n">
        <f>HYPERLINK("https://www.somogyi.hu/product/home-fs-15-koax-aljzat-fem-csavarozhato-egyenes-kivitel-fs-15-1773","https://www.somogyi.hu/product/home-fs-15-koax-aljzat-fem-csavarozhato-egyenes-kivitel-fs-15-1773")</f>
        <v>0.0</v>
      </c>
      <c r="E1596" s="7" t="n">
        <f>HYPERLINK("https://www.somogyi.hu/data/img/product_main_images/small/01773.jpg","https://www.somogyi.hu/data/img/product_main_images/small/01773.jpg")</f>
        <v>0.0</v>
      </c>
      <c r="F1596" s="2" t="inlineStr">
        <is>
          <t>5998312702352</t>
        </is>
      </c>
      <c r="G1596" s="4" t="inlineStr">
        <is>
          <t>Megbízható kialakítású koax csatlakozót keres? Ez esetben tekintse meg csatlakozóink széles kínálatát! Az FS 15 masszív fém alapanyagú egyenes lengő koax aljzat. A termék előnye, hogy csavarazható kivitelben kapható. Válassza a minőségi termékeket és rendeljen webáruházunkból.</t>
        </is>
      </c>
    </row>
    <row r="1597">
      <c r="A1597" s="3" t="inlineStr">
        <is>
          <t>FF 18P</t>
        </is>
      </c>
      <c r="B1597" s="2" t="inlineStr">
        <is>
          <t>Home FF 18P csatlakozó átalakító, koax dugó-F aljzat, fém, csavarható, pipa kivitel</t>
        </is>
      </c>
      <c r="C1597" s="1" t="n">
        <v>629.0</v>
      </c>
      <c r="D1597" s="7" t="n">
        <f>HYPERLINK("https://www.somogyi.hu/product/home-ff-18p-csatlakozo-atalakito-koax-dugo-f-aljzat-fem-csavarhato-pipa-kivitel-ff-18p-17974","https://www.somogyi.hu/product/home-ff-18p-csatlakozo-atalakito-koax-dugo-f-aljzat-fem-csavarhato-pipa-kivitel-ff-18p-17974")</f>
        <v>0.0</v>
      </c>
      <c r="E1597" s="7" t="n">
        <f>HYPERLINK("https://www.somogyi.hu/data/img/product_main_images/small/17974.jpg","https://www.somogyi.hu/data/img/product_main_images/small/17974.jpg")</f>
        <v>0.0</v>
      </c>
      <c r="F1597" s="2" t="inlineStr">
        <is>
          <t>5999084959968</t>
        </is>
      </c>
      <c r="G1597" s="4" t="inlineStr">
        <is>
          <t>Hogyan csatlakoztathatja egyszerűen TV-jét, Set Top Boxát vagy HiFi berendezését szűk helyeken is?
A Home FF 18P csatlakozó átalakító ideális megoldást nyújt, ha koaxiális kábeleket szeretne csatlakoztatni nehezen hozzáférhető helyeken. A pipa alakú kivitel lehetővé teszi, hogy a csatlakozókat szűk helyeken is könnyedén elhelyezze, anélkül, hogy a kábel megtörne. Ez az átalakító kiválóan alkalmas televíziók, Set Top Boxok és HiFi berendezések összekötésére, miközben biztosítja a stabil jelátvitelt.
Pipa alakú kialakítás a szűk helyekhez
A különleges pipa alakú forma megkönnyíti a csatlakoztatást ott is, ahol a hagyományos egyenes csatlakozók nem férnek el megfelelően. Ideális választás olyan helyzetekben, amikor a készülékek a falhoz közel helyezkednek el, és fontos a kábelek sérülésmentes rögzítése.
Kiváló minőségű, stabil konstrukció
A Home FF 18P csatlakozó strapabíró fémházzal rendelkezik, amely hosszú távon is biztosítja a stabil csatlakozást és a kiváló jelátvitelt. A csavarható kialakítás egyszerűvé és biztonságossá teszi a rögzítést, így a csatlakozó nem fog kilazulni a használat során. Ez különösen fontos a folyamatosan használt berendezések esetében, ahol a megbízhatóság elengedhetetlen.
Sokoldalú felhasználhatóság különféle eszközökkel
Ez a csatlakozó átalakító különösen alkalmas TV-k, Set Top Boxok és HiFi berendezések csatlakoztatására, így sokoldalúan használható otthoni szórakoztató rendszerek kiépítésekor. A koax dugó és az F aljzat kombinációja lehetővé teszi a különböző típusú kábelek egyszerű összekapcsolását.
Miért válassza a Home FF 18P csatlakozó átalakítót?
– Pipa alakú kivitel, amely megkönnyíti a csatlakozást szűk helyeken 
– Strapabíró, fémházas kialakítás a hosszú élettartamért 
– Csavarható rögzítés a biztonságos csatlakoztatás érdekében 
– Kiválóan alkalmas televíziók, Set Top Boxok és HiFi rendszerek összekötésére 
– Stabil jelátvitelt biztosít, így garantálja a zavartalan kép- és hangminőséget
Ha hatékony, helytakarékos megoldást keres a koaxiális csatlakozók összekötésére, a Home FF 18P csatlakozó átalakító minden szempontból ideális választás. Alkalmazásával nemcsak helyet takaríthat meg, hanem biztosíthatja a tökéletes jelátvitelt is, így élvezheti a hibátlan kép- és hangminőséget minden alkalommal!</t>
        </is>
      </c>
    </row>
    <row r="1598">
      <c r="A1598" s="3" t="inlineStr">
        <is>
          <t>FS 27X</t>
        </is>
      </c>
      <c r="B1598" s="2" t="inlineStr">
        <is>
          <t>Home FS 27X koax elosztó, 1 aljzat - 2 dugó, fém</t>
        </is>
      </c>
      <c r="C1598" s="1" t="n">
        <v>839.0</v>
      </c>
      <c r="D1598" s="7" t="n">
        <f>HYPERLINK("https://www.somogyi.hu/product/home-fs-27x-koax-eloszto-1-aljzat-2-dugo-fem-fs-27x-2204","https://www.somogyi.hu/product/home-fs-27x-koax-eloszto-1-aljzat-2-dugo-fem-fs-27x-2204")</f>
        <v>0.0</v>
      </c>
      <c r="E1598" s="7" t="n">
        <f>HYPERLINK("https://www.somogyi.hu/data/img/product_main_images/small/02204.jpg","https://www.somogyi.hu/data/img/product_main_images/small/02204.jpg")</f>
        <v>0.0</v>
      </c>
      <c r="F1598" s="2" t="inlineStr">
        <is>
          <t>5998312724699</t>
        </is>
      </c>
      <c r="G1598" s="4" t="inlineStr">
        <is>
          <t>Hogyan oszthatja meg egyszerűen a koaxiális jelet több eszköz között anélkül, hogy a minőség romlana?
A Home FS 27X koax elosztó kiváló választás, ha egyetlen koaxiális jelforrást két különböző eszközre szeretne csatlakoztatni. A strapabíró, fémházas kivitel és a pontos illeszkedést biztosító csatlakozók gondoskodnak a stabil jelátvitelről, miközben a zavarvédettség garantálja a tiszta kép- és hangminőséget. Ideális megoldás televíziók, Set Top Boxok és egyéb koaxiális bemenetű eszközök egyidejű csatlakoztatására.
Kétirányú jelmegosztás stabil csatlakozással
A Home FS 27X elosztó 1 koax aljzattal és 2 koax dugóval rendelkezik, amely lehetővé teszi a koaxiális jel egyenletes elosztását két különböző eszköz között. Ez a megoldás különösen hasznos, ha egyszerre több készüléken szeretne televíziós adásokat nézni anélkül, hogy külön antenna- vagy kábelcsatlakozást kellene kiépítenie.
Strapabíró fémház a hosszú élettartamért
Az elosztó fémházas kialakítása biztosítja a termék tartósságát és megbízhatóságát. A fém borítás hatékonyan árnyékolja a külső elektromágneses zavarokat, így garantált a zavartalan jelátvitel. Ez a kivitel nemcsak a stabil működést biztosítja, hanem ellenáll a mindennapos használat során fellépő mechanikai igénybevételnek is.
Praktikus bliszteres csomagolás
A bliszteres csomagolás megvédi az elosztót a szállítás és tárolás során fellépő sérülésektől, így mindig kifogástalan állapotban tartható. A csomagolás átlátható, amely megkönnyíti a termék beazonosítását és tárolását.
Miért érdemes a Home FS 27X koax elosztót választani?
– 1 koax aljzat és 2 koax dugó a kényelmes jelmegosztáshoz 
– Strapabíró, árnyékolt fémház, amely hosszú távú megbízhatóságot nyújt 
– Hatékony zavarvédelem a tiszta kép- és hangminőség érdekében 
– Ideális televíziók, Set Top Boxok és egyéb koaxiális eszközök csatlakoztatásához 
– Bliszteres csomagolás a könnyű tárolás és biztonságos szállítás érdekében
A Home FS 27X koax elosztó segítségével egyszerűen és megbízhatóan oszthatja meg a koaxiális jelet több eszköz között, így zavartalanul élvezheti a kedvenc műsorait minden készüléken. Válassza ezt a kiváló minőségű elosztót, hogy minden környezetben tökéletes kapcsolatot biztosítson eszközei számára!</t>
        </is>
      </c>
    </row>
    <row r="1599">
      <c r="A1599" s="3" t="inlineStr">
        <is>
          <t>TSX 1910</t>
        </is>
      </c>
      <c r="B1599" s="2" t="inlineStr">
        <is>
          <t>Home TSX 1910 F elosztó, HQ professzionális minőség, 75 Ohm, IP44, cink-ötvözet konstrukció, 5-2400 MHz, 2 utas, 1 bemenet, 2 kimenet</t>
        </is>
      </c>
      <c r="C1599" s="1" t="n">
        <v>1790.0</v>
      </c>
      <c r="D1599" s="7" t="n">
        <f>HYPERLINK("https://www.somogyi.hu/product/home-tsx-1910-f-eloszto-hq-professzionalis-minoseg-75-ohm-ip44-cink-otvozet-konstrukcio-5-2400-mhz-2-utas-1-bemenet-2-kimenet-tsx-1910-17975","https://www.somogyi.hu/product/home-tsx-1910-f-eloszto-hq-professzionalis-minoseg-75-ohm-ip44-cink-otvozet-konstrukcio-5-2400-mhz-2-utas-1-bemenet-2-kimenet-tsx-1910-17975")</f>
        <v>0.0</v>
      </c>
      <c r="E1599" s="7" t="n">
        <f>HYPERLINK("https://www.somogyi.hu/data/img/product_main_images/small/17975.jpg","https://www.somogyi.hu/data/img/product_main_images/small/17975.jpg")</f>
        <v>0.0</v>
      </c>
      <c r="F1599" s="2" t="inlineStr">
        <is>
          <t>5999084959975</t>
        </is>
      </c>
      <c r="G1599" s="4" t="inlineStr">
        <is>
          <t>Szüksége van egy megbízható és professzionális elosztóra a hálózati rendszeréhez? A Home TSX 1910 F elosztó kiváló választás mindazok számára, akik stabil és széleskörű jelátviteli megoldást keresnek. 
Ez a HQ professzionális minőségű elosztó 75 Ohm impedanciával és 5-2400 MHz szélessávú jelátvitellel biztosítja a zökkenőmentes adatátvitelt különböző eszközök között, legyen szó otthoni, irodai vagy ipari felhasználásról. A cink-ötvözetből készült stabil konstrukció garantálja a hosszú élettartamot és a megbízhatóságot, míg az IP44 vízállósági besorolás ellenáll az időjárás viszontagságainak, így ideális kültéri alkalmazásokhoz is. Az elosztó 2 kimenettel és 1 bemenettel rendelkezik, lehetővé téve két eszköz egyidejű csatlakoztatását anélkül, hogy a jel minősége romlana.
A távtáplálási opció (15 V / 1A max.) plusz feszültségbemeneti lehetőségek a kimeneteken keresztül további rugalmasságot biztosítanak, így könnyedén integrálható meglévő rendszerekbe. Az elosztó felcsavarozható kialakításaegyszerű telepítést tesz lehetővé, a csavarok pedig tartozékban érkeznek, biztosítva a stabil rögzítést. A Home TSX 1910 F elosztó nemcsak technikai előnyeivel, hanem robusztus kialakításával és könnyű kezelhetőségével is kitűnik a piacon, így ideális választás mind szakemberek, mind hétköznapi felhasználók számára.
Ne hagyja, hogy a jelvesztés korlátozza rendszerét! Rendelje meg most a Home TSX 1910 F elosztót, és élvezze a professzionális minőséget és megbízhatóságot minden alkalmazásban!</t>
        </is>
      </c>
    </row>
    <row r="1600">
      <c r="A1600" s="3" t="inlineStr">
        <is>
          <t>FS 19X</t>
        </is>
      </c>
      <c r="B1600" s="2" t="inlineStr">
        <is>
          <t>Home FS 19X koax aljzat, csavarozható</t>
        </is>
      </c>
      <c r="C1600" s="1" t="n">
        <v>379.0</v>
      </c>
      <c r="D1600" s="7" t="n">
        <f>HYPERLINK("https://www.somogyi.hu/product/home-fs-19x-koax-aljzat-csavarozhato-fs-19x-2438","https://www.somogyi.hu/product/home-fs-19x-koax-aljzat-csavarozhato-fs-19x-2438")</f>
        <v>0.0</v>
      </c>
      <c r="E1600" s="7" t="n">
        <f>HYPERLINK("https://www.somogyi.hu/data/img/product_main_images/small/02438.jpg","https://www.somogyi.hu/data/img/product_main_images/small/02438.jpg")</f>
        <v>0.0</v>
      </c>
      <c r="F1600" s="2" t="inlineStr">
        <is>
          <t>5998312727478</t>
        </is>
      </c>
      <c r="G1600" s="4" t="inlineStr">
        <is>
          <t>Hogyan biztosíthatja koaxiális rendszerei megbízható csatlakozását egyszerűen és hatékonyan?
A Home FS 19X koax aljzat ideális megoldást kínál televíziók, Set Top Boxok és egyéb koaxiális rendszerek csatlakoztatásához. A strapabíró, mégis könnyű műanyag ház és a csavarozható bekötési rendszer biztosítja a stabil rögzítést, amely elengedhetetlen a zavartalan jelátvitelhez. Legyen szó otthoni vagy irodai felhasználásról, ez az aljzat garantálja a megbízható működést.
Stabil csatlakozás csavaros rögzítéssel
A koax aljzat csavarozható kialakítása lehetővé teszi a gyors és egyszerű szerelést, miközben biztosítja a stabil csatlakoztatást, így hosszú távon is megbízható kapcsolatot nyújt. A csavaros bekötés megakadályozza a kilazulást, ezzel csökkentve a jelvesztés esélyét, így biztosítva a kiváló kép- és hangminőséget.
Strapabíró műanyag ház a hosszú élettartam érdekében
A műanyag házas kivitel könnyű, mégis ellenáll a mindennapos használat során fellépő mechanikai igénybevételnek. A minőségi anyaghasználat garantálja a tartós működést, miközben védi a csatlakozót a külső sérülésektől és kopástól.
Praktikus bliszteres csomagolás
A Home FS 19X koax aljzat bliszteres csomagolásban érkezik, amely védi a terméket a szállítás és tárolás során fellépő sérülésektől. A csomagolás nemcsak a sérülésmentes tárolást biztosítja, hanem megkönnyíti a termék rendszerezését és gyors beazonosítását is.
Miért válassza a Home FS 19X koax aljzatot?
– Csavarozható bekötési rendszer, amely gyors és biztonságos csatlakozást biztosít 
– Műanyag ház, amely könnyű, mégis tartós megoldást nyújt 
– Kiválóan használható televíziók, Set Top Boxok és egyéb koaxiális rendszerek csatlakoztatására 
– Bliszteres csomagolás a könnyű tárolás és szállítás érdekében 
– Egyszerű telepítés, amelyhez nincs szükség különleges szerszámokra
A Home FS 19X koax aljzat segítségével egyszerűen és gyorsan létrehozhatja a stabil koaxiális csatlakozásokat, így biztosítva a zavartalan működést és a kiváló jelátvitelt. Válassza ezt a megbízható és könnyen szerelhető megoldást, hogy minden helyzetben tökéletes kapcsolatot garantáljon eszközei számára!</t>
        </is>
      </c>
    </row>
    <row r="1601">
      <c r="A1601" s="3" t="inlineStr">
        <is>
          <t>FS 27</t>
        </is>
      </c>
      <c r="B1601" s="2" t="inlineStr">
        <is>
          <t>Home FS 27 koax elosztó, 1 aljzat, 2 dugó, "T" alak</t>
        </is>
      </c>
      <c r="C1601" s="1" t="n">
        <v>729.0</v>
      </c>
      <c r="D1601" s="7" t="n">
        <f>HYPERLINK("https://www.somogyi.hu/product/home-fs-27-koax-eloszto-1-aljzat-2-dugo-t-alak-fs-27-1779","https://www.somogyi.hu/product/home-fs-27-koax-eloszto-1-aljzat-2-dugo-t-alak-fs-27-1779")</f>
        <v>0.0</v>
      </c>
      <c r="E1601" s="7" t="n">
        <f>HYPERLINK("https://www.somogyi.hu/data/img/product_main_images/small/01779.jpg","https://www.somogyi.hu/data/img/product_main_images/small/01779.jpg")</f>
        <v>0.0</v>
      </c>
      <c r="F1601" s="2" t="inlineStr">
        <is>
          <t>5998312702413</t>
        </is>
      </c>
      <c r="G1601" s="4" t="inlineStr">
        <is>
          <t>Megbízható kialakítású koax csatlakozót keres? Ez esetben tekintse meg csatlakozóink széles kínálatát! Az FS 27 „T” alakú fém koax elosztó 2 db dugóból és 1 db aljzattal rendelkezik. Válassza a minőségi termékeket és rendeljen webáruházunkból.</t>
        </is>
      </c>
    </row>
    <row r="1602">
      <c r="A1602" s="3" t="inlineStr">
        <is>
          <t>FF 1</t>
        </is>
      </c>
      <c r="B1602" s="2" t="inlineStr">
        <is>
          <t>Home FF1 F csatlakozódugó, fém, RG 6 kábelre tekerhető, egyenes kivitel</t>
        </is>
      </c>
      <c r="C1602" s="1" t="n">
        <v>89.0</v>
      </c>
      <c r="D1602" s="7" t="n">
        <f>HYPERLINK("https://www.somogyi.hu/product/home-ff1-f-csatlakozodugo-fem-rg-6-kabelre-tekerheto-egyenes-kivitel-ff-1-1980","https://www.somogyi.hu/product/home-ff1-f-csatlakozodugo-fem-rg-6-kabelre-tekerheto-egyenes-kivitel-ff-1-1980")</f>
        <v>0.0</v>
      </c>
      <c r="E1602" s="7" t="n">
        <f>HYPERLINK("https://www.somogyi.hu/data/img/product_main_images/small/01980.jpg","https://www.somogyi.hu/data/img/product_main_images/small/01980.jpg")</f>
        <v>0.0</v>
      </c>
      <c r="F1602" s="2" t="inlineStr">
        <is>
          <t>5998312711774</t>
        </is>
      </c>
      <c r="G1602" s="4" t="inlineStr">
        <is>
          <t>Keresse az igényeinek megfelelő koax csatlakozókat! Az FF 1 fém alapanyagú F dugó az RG 6 kábelhez ajánlott. Válassza a minőségi termékeket és rendeljen webáruházunkból.</t>
        </is>
      </c>
    </row>
    <row r="1603">
      <c r="A1603" s="3" t="inlineStr">
        <is>
          <t>TSP 1910</t>
        </is>
      </c>
      <c r="B1603" s="2" t="inlineStr">
        <is>
          <t>Home TSP 1910 F elosztó, 900-2400 MHz, 2 utas, 1 bemenet, 2 kimenet</t>
        </is>
      </c>
      <c r="C1603" s="1" t="n">
        <v>1350.0</v>
      </c>
      <c r="D1603" s="7" t="n">
        <f>HYPERLINK("https://www.somogyi.hu/product/home-tsp-1910-f-eloszto-900-2400-mhz-2-utas-1-bemenet-2-kimenet-tsp-1910-5138","https://www.somogyi.hu/product/home-tsp-1910-f-eloszto-900-2400-mhz-2-utas-1-bemenet-2-kimenet-tsp-1910-5138")</f>
        <v>0.0</v>
      </c>
      <c r="E1603" s="7" t="n">
        <f>HYPERLINK("https://www.somogyi.hu/data/img/product_main_images/small/05138.jpg","https://www.somogyi.hu/data/img/product_main_images/small/05138.jpg")</f>
        <v>0.0</v>
      </c>
      <c r="F1603" s="2" t="inlineStr">
        <is>
          <t>5998312745267</t>
        </is>
      </c>
      <c r="G1603" s="4" t="inlineStr">
        <is>
          <t>Keresse a megfelelő F elosztókat a kábeltévés, műholdvevős alkalmazásokhoz. A 2 utas TSP 1910 elosztó 2 db bemenettel és 4 db kimenettel rendelkezik. Válassza a minőségi termékeket és rendeljen webáruházunkból.</t>
        </is>
      </c>
    </row>
    <row r="1604">
      <c r="A1604" s="3" t="inlineStr">
        <is>
          <t>TSP 1913X</t>
        </is>
      </c>
      <c r="B1604" s="2" t="inlineStr">
        <is>
          <t>Home TSP 1913X F elosztó, 4 utas, SAT</t>
        </is>
      </c>
      <c r="C1604" s="1" t="n">
        <v>1890.0</v>
      </c>
      <c r="D1604" s="7" t="n">
        <f>HYPERLINK("https://www.somogyi.hu/product/home-tsp-1913x-f-eloszto-4-utas-sat-tsp-1913x-5507","https://www.somogyi.hu/product/home-tsp-1913x-f-eloszto-4-utas-sat-tsp-1913x-5507")</f>
        <v>0.0</v>
      </c>
      <c r="E1604" s="7" t="n">
        <f>HYPERLINK("https://www.somogyi.hu/data/img/product_main_images/small/05507.jpg","https://www.somogyi.hu/data/img/product_main_images/small/05507.jpg")</f>
        <v>0.0</v>
      </c>
      <c r="F1604" s="2" t="inlineStr">
        <is>
          <t>5998312748701</t>
        </is>
      </c>
      <c r="G1604" s="4" t="inlineStr">
        <is>
          <t>Hogyan oszthatja meg egyszerűen és hatékonyan a műholdas jelet több eszköz között?
A Home TSP 1911X F elosztó ideális megoldást kínál azok számára, akik egy műholdas jel forrást szeretnének több eszközzel megosztani, anélkül hogy a jel minősége romlana. Ez a 3 utas elosztó egy bemenettel és három kimenettel rendelkezik, így egyszerűen biztosíthatja a műholdas jelet akár több televízió vagy egyéb eszköz számára.
Kiemelkedő teljesítmény és kompatibilitás
A Home TSP 1911X F elosztó 5-900 MHz-es frekvenciatartományban működik, amely optimális teljesítményt nyújt a legtöbb műholdas és kábeltelevíziós rendszerrel. A stabil jelátvitel garantálja a zavartalan vételt minden csatlakoztatott eszközön, legyen szó akár televízióról, set-top boxról vagy egyéb vevőegységről. A precízen kialakított csatlakozók megbízható kapcsolatot biztosítanak, így minimalizálva a jelveszteséget és a zavarokat.
Könnyű telepítés és praktikus kivitel
A 3 utas elosztó használata rendkívül egyszerű, így akár otthoni környezetben is könnyedén telepíthető. Az 1 db-os bliszteres csomagolás nemcsak védi a terméket a szállítás során, hanem megkönnyíti a tárolást is. Kompakt méretének köszönhetően helytakarékosan elfér a kábelek között, miközben stabilan rögzíthető a megfelelő csatlakozási pontokon.
Miért érdemes a Home TSP 1911X F elosztót választani?
- Optimális jelátvitelt biztosít a 5-900 MHz-es frekvenciatartománynak köszönhetően
- Három kimenet áll rendelkezésre, így egyszerűen megosztható a jel több eszköz között
- Kiváló minőségű csatlakozók garantálják a megbízható kapcsolatot és a minimális jelveszteséget
- Bliszteres csomagolásban érkezik, ami védi a terméket és könnyű kezelhetőséget biztosít
Ne engedje, hogy a több eszközre való csatlakoztatás nehézséget okozzon! A Home TSP 1911X F elosztó segítségével gyorsan és hatékonyan oszthatja meg a műholdas jelet, hogy minden eszközön élvezhesse a tökéletes vételt!</t>
        </is>
      </c>
    </row>
    <row r="1605">
      <c r="A1605" s="3" t="inlineStr">
        <is>
          <t>TSP 1911</t>
        </is>
      </c>
      <c r="B1605" s="2" t="inlineStr">
        <is>
          <t>Home TSP 1911 F elosztó, 900-2400 MHz, 3 utas, 1 bemenet, 3 kimenet</t>
        </is>
      </c>
      <c r="C1605" s="1" t="n">
        <v>1590.0</v>
      </c>
      <c r="D1605" s="7" t="n">
        <f>HYPERLINK("https://www.somogyi.hu/product/home-tsp-1911-f-eloszto-900-2400-mhz-3-utas-1-bemenet-3-kimenet-tsp-1911-5139","https://www.somogyi.hu/product/home-tsp-1911-f-eloszto-900-2400-mhz-3-utas-1-bemenet-3-kimenet-tsp-1911-5139")</f>
        <v>0.0</v>
      </c>
      <c r="E1605" s="7" t="n">
        <f>HYPERLINK("https://www.somogyi.hu/data/img/product_main_images/small/05139.jpg","https://www.somogyi.hu/data/img/product_main_images/small/05139.jpg")</f>
        <v>0.0</v>
      </c>
      <c r="F1605" s="2" t="inlineStr">
        <is>
          <t>5998312745274</t>
        </is>
      </c>
      <c r="G1605" s="4" t="inlineStr">
        <is>
          <t>Keresse a megfelelő F elosztókat a kábeltévés, műholdvevős alkalmazásokhoz. A 3 utas TSP 1911 elosztó 1 db bemenettel és 3 db kimenettel rendelkezik. Válassza a minőségi termékeket és rendeljen webáruházunkból.</t>
        </is>
      </c>
    </row>
    <row r="1606">
      <c r="A1606" s="3" t="inlineStr">
        <is>
          <t>FF 15</t>
        </is>
      </c>
      <c r="B1606" s="2" t="inlineStr">
        <is>
          <t>Home FF 15 csatlakozó átalakító, dugó-aljzat, fém, csavarható, pipa kivitel</t>
        </is>
      </c>
      <c r="C1606" s="1" t="n">
        <v>529.0</v>
      </c>
      <c r="D1606" s="7" t="n">
        <f>HYPERLINK("https://www.somogyi.hu/product/home-ff-15-csatlakozo-atalakito-dugo-aljzat-fem-csavarhato-pipa-kivitel-ff-15-1762","https://www.somogyi.hu/product/home-ff-15-csatlakozo-atalakito-dugo-aljzat-fem-csavarhato-pipa-kivitel-ff-15-1762")</f>
        <v>0.0</v>
      </c>
      <c r="E1606" s="7" t="n">
        <f>HYPERLINK("https://www.somogyi.hu/data/img/product_main_images/small/01762.jpg","https://www.somogyi.hu/data/img/product_main_images/small/01762.jpg")</f>
        <v>0.0</v>
      </c>
      <c r="F1606" s="2" t="inlineStr">
        <is>
          <t>5998312702185</t>
        </is>
      </c>
      <c r="G1606" s="4" t="inlineStr">
        <is>
          <t>Széles kínálatunkban garantáltan megtalálhatja az igényeinek megfelelő csatlakozókat és átalakítókat! Az FF 15 fém kialakítással rendelkező pipa alakú F dugó és F aljzat. Válassza a minőségi termékeket és rendeljen webáruházunkból.</t>
        </is>
      </c>
    </row>
    <row r="1607">
      <c r="A1607" s="6" t="inlineStr">
        <is>
          <t xml:space="preserve">   Audio-video kiegészítők / Tápegységdugó, akku-/krokodilcsipesz, sorkapocs, elemcsatlakozó</t>
        </is>
      </c>
      <c r="B1607" s="6" t="inlineStr">
        <is>
          <t/>
        </is>
      </c>
      <c r="C1607" s="6" t="inlineStr">
        <is>
          <t/>
        </is>
      </c>
      <c r="D1607" s="6" t="inlineStr">
        <is>
          <t/>
        </is>
      </c>
      <c r="E1607" s="6" t="inlineStr">
        <is>
          <t/>
        </is>
      </c>
      <c r="F1607" s="6" t="inlineStr">
        <is>
          <t/>
        </is>
      </c>
      <c r="G1607" s="6" t="inlineStr">
        <is>
          <t/>
        </is>
      </c>
    </row>
    <row r="1608">
      <c r="A1608" s="3" t="inlineStr">
        <is>
          <t>VCC 3/BK</t>
        </is>
      </c>
      <c r="B1608" s="2" t="inlineStr">
        <is>
          <t>Home VCC 3/BK krokodilcsipesz, végig szigetelt, forrasztható, 55 mm, fekete</t>
        </is>
      </c>
      <c r="C1608" s="1" t="n">
        <v>89.0</v>
      </c>
      <c r="D1608" s="7" t="n">
        <f>HYPERLINK("https://www.somogyi.hu/product/home-vcc-3-bk-krokodilcsipesz-vegig-szigetelt-forraszthato-55-mm-fekete-vcc-3-bk-2055","https://www.somogyi.hu/product/home-vcc-3-bk-krokodilcsipesz-vegig-szigetelt-forraszthato-55-mm-fekete-vcc-3-bk-2055")</f>
        <v>0.0</v>
      </c>
      <c r="E1608" s="7" t="n">
        <f>HYPERLINK("https://www.somogyi.hu/data/img/product_main_images/small/02055.jpg","https://www.somogyi.hu/data/img/product_main_images/small/02055.jpg")</f>
        <v>0.0</v>
      </c>
      <c r="F1608" s="2" t="inlineStr">
        <is>
          <t>5998312722770</t>
        </is>
      </c>
      <c r="G1608" s="4" t="inlineStr">
        <is>
          <t>Nálunk garantáltan megtalálja az igényeinek megfelelő krokodilcsipeszeket!
A fekete színű VCC 3/BK krokodilcsipesz 55 mm-es hosszúságban kapható. A termék előnye, hogy végig szigetelt, forrasztható kivitelben készült. Válassza a minőségi termékeket és rendeljen webáruházunkból.</t>
        </is>
      </c>
    </row>
    <row r="1609">
      <c r="A1609" s="3" t="inlineStr">
        <is>
          <t>VBC 100/RD</t>
        </is>
      </c>
      <c r="B1609" s="2" t="inlineStr">
        <is>
          <t>Home VBC 100/RD akkumulátorcsipesz, 100 A, szigetelt, forrasztható, 12 V, 110 mm, piros</t>
        </is>
      </c>
      <c r="C1609" s="1" t="n">
        <v>659.0</v>
      </c>
      <c r="D1609" s="7" t="n">
        <f>HYPERLINK("https://www.somogyi.hu/product/home-vbc-100-rd-akkumulatorcsipesz-100-a-szigetelt-forraszthato-12-v-110-mm-piros-vbc-100-rd-4215","https://www.somogyi.hu/product/home-vbc-100-rd-akkumulatorcsipesz-100-a-szigetelt-forraszthato-12-v-110-mm-piros-vbc-100-rd-4215")</f>
        <v>0.0</v>
      </c>
      <c r="E1609" s="7" t="n">
        <f>HYPERLINK("https://www.somogyi.hu/data/img/product_main_images/small/04215.jpg","https://www.somogyi.hu/data/img/product_main_images/small/04215.jpg")</f>
        <v>0.0</v>
      </c>
      <c r="F1609" s="2" t="inlineStr">
        <is>
          <t>5998312737460</t>
        </is>
      </c>
      <c r="G1609" s="4" t="inlineStr">
        <is>
          <t>Nálunk garantáltan megtalálja az igényeinek megfelelő akkumulátor csipeszeket!
A piros színű VBC 100/ RD (100 A) szigetelt, illetve forrasztható kivitelben kapható. Felhasználhatósága: 12 DC. A termék hossza: 110 mm. Válassza a minőségi termékeket és rendeljen webáruházunkból.</t>
        </is>
      </c>
    </row>
    <row r="1610">
      <c r="A1610" s="3" t="inlineStr">
        <is>
          <t>VBC 7/BK</t>
        </is>
      </c>
      <c r="B1610" s="2" t="inlineStr">
        <is>
          <t>Home VBC 7/BK akkumulátorcsipesz, 50 A, szigetelt, forrasztható, 12 V, 100 mm, fekete</t>
        </is>
      </c>
      <c r="C1610" s="1" t="n">
        <v>369.0</v>
      </c>
      <c r="D1610" s="7" t="n">
        <f>HYPERLINK("https://www.somogyi.hu/product/home-vbc-7-bk-akkumulatorcsipesz-50-a-szigetelt-forraszthato-12-v-100-mm-fekete-vbc-7-bk-2083","https://www.somogyi.hu/product/home-vbc-7-bk-akkumulatorcsipesz-50-a-szigetelt-forraszthato-12-v-100-mm-fekete-vbc-7-bk-2083")</f>
        <v>0.0</v>
      </c>
      <c r="E1610" s="7" t="n">
        <f>HYPERLINK("https://www.somogyi.hu/data/img/product_main_images/small/02083.jpg","https://www.somogyi.hu/data/img/product_main_images/small/02083.jpg")</f>
        <v>0.0</v>
      </c>
      <c r="F1610" s="2" t="inlineStr">
        <is>
          <t>5998312723173</t>
        </is>
      </c>
      <c r="G1610" s="4" t="inlineStr">
        <is>
          <t>Nálunk garantáltan megtalálja az igényeinek megfelelő akkumulátor csipeszeket!
A fekete színű VBC 7/BK (50 A) szigetelt, illetve forrasztható kivitelben kapható. Felhasználhatósága: 12 DC. A termék hossza: 100 mm. Válassza a minőségi termékeket és rendeljen webáruházunkból.</t>
        </is>
      </c>
    </row>
    <row r="1611">
      <c r="A1611" s="3" t="inlineStr">
        <is>
          <t>VBC 200/RD</t>
        </is>
      </c>
      <c r="B1611" s="2" t="inlineStr">
        <is>
          <t>Home VBC 200/RD akkumulátorcsipesz, 200 A, szigetelt, forrasztható, 12 V, 150 mm, piros</t>
        </is>
      </c>
      <c r="C1611" s="1" t="n">
        <v>1190.0</v>
      </c>
      <c r="D1611" s="7" t="n">
        <f>HYPERLINK("https://www.somogyi.hu/product/home-vbc-200-rd-akkumulatorcsipesz-200-a-szigetelt-forraszthato-12-v-150-mm-piros-vbc-200-rd-4743","https://www.somogyi.hu/product/home-vbc-200-rd-akkumulatorcsipesz-200-a-szigetelt-forraszthato-12-v-150-mm-piros-vbc-200-rd-4743")</f>
        <v>0.0</v>
      </c>
      <c r="E1611" s="7" t="n">
        <f>HYPERLINK("https://www.somogyi.hu/data/img/product_main_images/small/04743.jpg","https://www.somogyi.hu/data/img/product_main_images/small/04743.jpg")</f>
        <v>0.0</v>
      </c>
      <c r="F1611" s="2" t="inlineStr">
        <is>
          <t>5998312741870</t>
        </is>
      </c>
      <c r="G1611" s="4" t="inlineStr">
        <is>
          <t>Nálunk garantáltan megtalálja az igényeinek megfelelő akkumulátor csipeszeket!
A piros színű VBC 200/ RD (200 A) szigetelt, illetve forrasztható kivitelben kapható. Felhasználhatósága: 12 DC. A termék hossza: 150 mm. Válassza a minőségi termékeket és rendeljen webáruházunkból.</t>
        </is>
      </c>
    </row>
    <row r="1612">
      <c r="A1612" s="3" t="inlineStr">
        <is>
          <t>ALC 4/BK</t>
        </is>
      </c>
      <c r="B1612" s="2" t="inlineStr">
        <is>
          <t>Home ALC 4/BK aligátorcsipesz banánhüvellyel, szigetelt, csavarozható, 65mm, fekete</t>
        </is>
      </c>
      <c r="C1612" s="1" t="n">
        <v>139.0</v>
      </c>
      <c r="D1612" s="7" t="n">
        <f>HYPERLINK("https://www.somogyi.hu/product/home-alc-4-bk-aligatorcsipesz-bananhuvellyel-szigetelt-csavarozhato-65mm-fekete-alc-4-bk-2057","https://www.somogyi.hu/product/home-alc-4-bk-aligatorcsipesz-bananhuvellyel-szigetelt-csavarozhato-65mm-fekete-alc-4-bk-2057")</f>
        <v>0.0</v>
      </c>
      <c r="E1612" s="7" t="n">
        <f>HYPERLINK("https://www.somogyi.hu/data/img/product_main_images/small/02057.jpg","https://www.somogyi.hu/data/img/product_main_images/small/02057.jpg")</f>
        <v>0.0</v>
      </c>
      <c r="F1612" s="2" t="inlineStr">
        <is>
          <t>5998312722817</t>
        </is>
      </c>
      <c r="G1612" s="4" t="inlineStr">
        <is>
          <t>Nálunk garantáltan megtalálja az igényeinek megfelelő akkumulátor csipeszeket!
A fekete színű ALC 4/BK aligátorcsipesz szigetelt, illetve csavarozható kivitelben kapható. A termék hossza: 65 mm. Válassza a minőségi termékeket és rendeljen webáruházunkból.</t>
        </is>
      </c>
    </row>
    <row r="1613">
      <c r="A1613" s="3" t="inlineStr">
        <is>
          <t>VBC 200/BK</t>
        </is>
      </c>
      <c r="B1613" s="2" t="inlineStr">
        <is>
          <t>Home VBC 200/BK akkumulátorcsipesz, 200 A, szigetelt, forrasztható, 12 V, 150 mm, fekete</t>
        </is>
      </c>
      <c r="C1613" s="1" t="n">
        <v>1190.0</v>
      </c>
      <c r="D1613" s="7" t="n">
        <f>HYPERLINK("https://www.somogyi.hu/product/home-vbc-200-bk-akkumulatorcsipesz-200-a-szigetelt-forraszthato-12-v-150-mm-fekete-vbc-200-bk-4742","https://www.somogyi.hu/product/home-vbc-200-bk-akkumulatorcsipesz-200-a-szigetelt-forraszthato-12-v-150-mm-fekete-vbc-200-bk-4742")</f>
        <v>0.0</v>
      </c>
      <c r="E1613" s="7" t="n">
        <f>HYPERLINK("https://www.somogyi.hu/data/img/product_main_images/small/04742.jpg","https://www.somogyi.hu/data/img/product_main_images/small/04742.jpg")</f>
        <v>0.0</v>
      </c>
      <c r="F1613" s="2" t="inlineStr">
        <is>
          <t>5998312741863</t>
        </is>
      </c>
      <c r="G1613" s="4" t="inlineStr">
        <is>
          <t>Nálunk garantáltan megtalálja az igényeinek megfelelő akkumulátor csipeszeket!
A fekete színű VBC 200/ BK (200 A) szigetelt, illetve forrasztható kivitelben kapható. Felhasználhatósága: 12 DC. A termék hossza: 150 mm. Válassza a minőségi termékeket és rendeljen webáruházunkból.</t>
        </is>
      </c>
    </row>
    <row r="1614">
      <c r="A1614" s="3" t="inlineStr">
        <is>
          <t>VBC 30/RD</t>
        </is>
      </c>
      <c r="B1614" s="2" t="inlineStr">
        <is>
          <t>Home VBC 30/RD akkumulátorcsipesz, 30 A, szigetelt, forrasztható, 12 V, 75 mm, piros</t>
        </is>
      </c>
      <c r="C1614" s="1" t="n">
        <v>249.0</v>
      </c>
      <c r="D1614" s="7" t="n">
        <f>HYPERLINK("https://www.somogyi.hu/product/home-vbc-30-rd-akkumulatorcsipesz-30-a-szigetelt-forraszthato-12-v-75-mm-piros-vbc-30-rd-4212","https://www.somogyi.hu/product/home-vbc-30-rd-akkumulatorcsipesz-30-a-szigetelt-forraszthato-12-v-75-mm-piros-vbc-30-rd-4212")</f>
        <v>0.0</v>
      </c>
      <c r="E1614" s="7" t="n">
        <f>HYPERLINK("https://www.somogyi.hu/data/img/product_main_images/small/04212.jpg","https://www.somogyi.hu/data/img/product_main_images/small/04212.jpg")</f>
        <v>0.0</v>
      </c>
      <c r="F1614" s="2" t="inlineStr">
        <is>
          <t>5998312737439</t>
        </is>
      </c>
      <c r="G1614" s="4" t="inlineStr">
        <is>
          <t>Nálunk garantáltan megtalálja az igényeinek megfelelő akkumulátor csipeszeket!
A piros színű VBC 30/RD (30 A) szigetelt, illetve forrasztható kivitelben kapható. Felhasználhatósága: 12 DC. A termék hossza: 75 mm. Válassza a minőségi termékeket és rendeljen webáruházunkból.</t>
        </is>
      </c>
    </row>
    <row r="1615">
      <c r="A1615" s="3" t="inlineStr">
        <is>
          <t>VBC 7/RD</t>
        </is>
      </c>
      <c r="B1615" s="2" t="inlineStr">
        <is>
          <t>Home VBC 7/RD akkumulátorcsipesz, 50 A, szigetelt, forrasztható, 12 V, 100 mm, piros</t>
        </is>
      </c>
      <c r="C1615" s="1" t="n">
        <v>369.0</v>
      </c>
      <c r="D1615" s="7" t="n">
        <f>HYPERLINK("https://www.somogyi.hu/product/home-vbc-7-rd-akkumulatorcsipesz-50-a-szigetelt-forraszthato-12-v-100-mm-piros-vbc-7-rd-1954","https://www.somogyi.hu/product/home-vbc-7-rd-akkumulatorcsipesz-50-a-szigetelt-forraszthato-12-v-100-mm-piros-vbc-7-rd-1954")</f>
        <v>0.0</v>
      </c>
      <c r="E1615" s="7" t="n">
        <f>HYPERLINK("https://www.somogyi.hu/data/img/product_main_images/small/01954.jpg","https://www.somogyi.hu/data/img/product_main_images/small/01954.jpg")</f>
        <v>0.0</v>
      </c>
      <c r="F1615" s="2" t="inlineStr">
        <is>
          <t>5998312705704</t>
        </is>
      </c>
      <c r="G1615" s="4" t="inlineStr">
        <is>
          <t>Nálunk garantáltan megtalálja az igényeinek megfelelő akkumulátor csipeszeket!
A piros színű VBC 7/RD (50 A) szigetelt, illetve forrasztható kivitelben kapható. Felhasználhatósága: 12 DC. A termék hossza: 100 mm. Válassza a minőségi termékeket és rendeljen webáruházunkból.</t>
        </is>
      </c>
    </row>
    <row r="1616">
      <c r="A1616" s="3" t="inlineStr">
        <is>
          <t>BH 036</t>
        </is>
      </c>
      <c r="B1616" s="2" t="inlineStr">
        <is>
          <t>Home BH 036 elemcsatlakozó, 9V elemhez, 15cm vezeték</t>
        </is>
      </c>
      <c r="C1616" s="1" t="n">
        <v>179.0</v>
      </c>
      <c r="D1616" s="7" t="n">
        <f>HYPERLINK("https://www.somogyi.hu/product/home-bh-036-elemcsatlakozo-9v-elemhez-15cm-vezetek-bh-036-1725","https://www.somogyi.hu/product/home-bh-036-elemcsatlakozo-9v-elemhez-15cm-vezetek-bh-036-1725")</f>
        <v>0.0</v>
      </c>
      <c r="E1616" s="7" t="n">
        <f>HYPERLINK("https://www.somogyi.hu/data/img/product_main_images/small/01725.jpg","https://www.somogyi.hu/data/img/product_main_images/small/01725.jpg")</f>
        <v>0.0</v>
      </c>
      <c r="F1616" s="2" t="inlineStr">
        <is>
          <t>5998312701492</t>
        </is>
      </c>
      <c r="G1616" s="4" t="inlineStr">
        <is>
          <t>A BH 036 típusú elemcsatlakozó 9 V-os elemhez alkalmazható. A termék 15 cm-es vezetékkel rendelkezik. Válassza a minőségi termékeket és rendeljen webáruházunkból.</t>
        </is>
      </c>
    </row>
    <row r="1617">
      <c r="A1617" s="3" t="inlineStr">
        <is>
          <t>ALC 4/RD</t>
        </is>
      </c>
      <c r="B1617" s="2" t="inlineStr">
        <is>
          <t>Home ALC 4/BK aligátorcsipesz banánhüvellyel, szigetelt, csavarozható, 65mm, piros</t>
        </is>
      </c>
      <c r="C1617" s="1" t="n">
        <v>139.0</v>
      </c>
      <c r="D1617" s="7" t="n">
        <f>HYPERLINK("https://www.somogyi.hu/product/home-alc-4-bk-aligatorcsipesz-bananhuvellyel-szigetelt-csavarozhato-65mm-piros-alc-4-rd-2056","https://www.somogyi.hu/product/home-alc-4-bk-aligatorcsipesz-bananhuvellyel-szigetelt-csavarozhato-65mm-piros-alc-4-rd-2056")</f>
        <v>0.0</v>
      </c>
      <c r="E1617" s="7" t="n">
        <f>HYPERLINK("https://www.somogyi.hu/data/img/product_main_images/small/02056.jpg","https://www.somogyi.hu/data/img/product_main_images/small/02056.jpg")</f>
        <v>0.0</v>
      </c>
      <c r="F1617" s="2" t="inlineStr">
        <is>
          <t>5998312722794</t>
        </is>
      </c>
      <c r="G1617" s="4" t="inlineStr">
        <is>
          <t>Nálunk garantáltan megtalálja az igényeinek megfelelő akkumulátor csipeszeket!
A piros színű ALC 4/RD aligátorcsipesz szigetelt, illetve csavarozható kivitelben kapható. A termék hossza: 65 mm. Válassza a minőségi termékeket és rendeljen webáruházunkból.</t>
        </is>
      </c>
    </row>
    <row r="1618">
      <c r="A1618" s="3" t="inlineStr">
        <is>
          <t>VCC 3/RD</t>
        </is>
      </c>
      <c r="B1618" s="2" t="inlineStr">
        <is>
          <t>Home VCC 3/BK krokodilcsipesz, végig szigetelt, forrasztható, 55 mm, piros</t>
        </is>
      </c>
      <c r="C1618" s="1" t="n">
        <v>89.0</v>
      </c>
      <c r="D1618" s="7" t="n">
        <f>HYPERLINK("https://www.somogyi.hu/product/home-vcc-3-bk-krokodilcsipesz-vegig-szigetelt-forraszthato-55-mm-piros-vcc-3-rd-2054","https://www.somogyi.hu/product/home-vcc-3-bk-krokodilcsipesz-vegig-szigetelt-forraszthato-55-mm-piros-vcc-3-rd-2054")</f>
        <v>0.0</v>
      </c>
      <c r="E1618" s="7" t="n">
        <f>HYPERLINK("https://www.somogyi.hu/data/img/product_main_images/small/02054.jpg","https://www.somogyi.hu/data/img/product_main_images/small/02054.jpg")</f>
        <v>0.0</v>
      </c>
      <c r="F1618" s="2" t="inlineStr">
        <is>
          <t>5998312722756</t>
        </is>
      </c>
      <c r="G1618" s="4" t="inlineStr">
        <is>
          <t>Nálunk garantáltan megtalálja az igényeinek megfelelő krokodilcsipeszeket!
A piros színű VCC 3/RD krokodilcsipesz 55 mm-es hosszúságban kapható. A termék előnye, hogy végig szigetelt, forrasztható kivitelben készült. Válassza a minőségi termékeket és rendeljen webáruházunkból.</t>
        </is>
      </c>
    </row>
    <row r="1619">
      <c r="A1619" s="3" t="inlineStr">
        <is>
          <t>ALC 44X</t>
        </is>
      </c>
      <c r="B1619" s="2" t="inlineStr">
        <is>
          <t>Home ALC 44X aligátorcsipesz, piros, fekete, banánaljzat</t>
        </is>
      </c>
      <c r="C1619" s="1" t="n">
        <v>369.0</v>
      </c>
      <c r="D1619" s="7" t="n">
        <f>HYPERLINK("https://www.somogyi.hu/product/home-alc-44x-aligatorcsipesz-piros-fekete-bananaljzat-alc-44x-2270","https://www.somogyi.hu/product/home-alc-44x-aligatorcsipesz-piros-fekete-bananaljzat-alc-44x-2270")</f>
        <v>0.0</v>
      </c>
      <c r="E1619" s="7" t="n">
        <f>HYPERLINK("https://www.somogyi.hu/data/img/product_main_images/small/02270.jpg","https://www.somogyi.hu/data/img/product_main_images/small/02270.jpg")</f>
        <v>0.0</v>
      </c>
      <c r="F1619" s="2" t="inlineStr">
        <is>
          <t>5998312725368</t>
        </is>
      </c>
      <c r="G1619" s="4" t="inlineStr">
        <is>
          <t>Hogyan biztosíthatja az elektromos csatlakozások stabilitását és biztonságát bármilyen környezetben?
A Home ALC 44X aligátorcsipesz ideális választás, ha megbízható, könnyen használható csatlakoztatási megoldásra van szüksége. Ez a piros és fekete színű, szigetelt aligátorcsipesz számos felhasználási területen megállja a helyét, legyen szó laboratóriumi munkáról, elektronikai szerelésről vagy otthoni barkácsolásról.
Biztonságos és tartós kialakítás
A Home ALC 44X aligátorcsipesz teljes mértékben szigetelt, ami garantálja a biztonságos használatot elektromos munkák során. A szigetelés megakadályozza a véletlen rövidzárlatokat, így Ön nyugodtan dolgozhat vele különféle áramköri csatlakoztatások esetén. A csavarozható kivitel lehetővé teszi a stabil rögzítést, így biztosítva, hogy a csipesz szilárdan a helyén maradjon használat közben.
Kényelmes méret és egyszerű használat
A csipesz 65 mm hosszúságú, ami kényelmes fogást és egyszerű kezelhetőséget biztosít. A piros és fekete színek segítik az egyértelmű polaritásjelölést, így még könnyebbé válik az elektromos kapcsolatok gyors és biztonságos kialakítása. A banánaljzatos csatlakozási lehetőség révén további eszközök csatlakoztatása is megoldható, ami különösen hasznos műszeres mérések során.
Praktikus csomagolás
A Home ALC 44X aligátorcsipesz egy darabos, bliszteres csomagolásban érkezik, amely megvédi a terméket a szállítás és tárolás során. Így Ön mindig tökéletes állapotban veheti kézbe a csipeszt, amikor szüksége van rá.
 Miért érdemes a Home ALC 44X aligátorcsipeszt választani?
– Teljes mértékben szigetelt, biztonságos kialakítás 
– Csavarozható, stabil rögzítést biztosító csatlakozás 
– Piros és fekete színű jelölés a könnyű polaritásmegkülönböztetéshez 
– Kényelmes, 65 mm-es hosszúságú csipesz a praktikus használat érdekében 
– Banánaljzatos csatlakozási lehetőség műszeres mérésekhez
Ne elégedjen meg a kevésbé megbízható eszközökkel! Válassza a Home ALC 44X aligátorcsipeszt, és dolgozzon gyorsan, precízen és biztonságosan minden helyzetben!</t>
        </is>
      </c>
    </row>
    <row r="1620">
      <c r="A1620" s="3" t="inlineStr">
        <is>
          <t>DC 1K</t>
        </is>
      </c>
      <c r="B1620" s="2" t="inlineStr">
        <is>
          <t>Home DC 1K, DC zsinórközi kapcsoló, 2x15 cm vezeték, 3A, 36W</t>
        </is>
      </c>
      <c r="C1620" s="1" t="n">
        <v>1090.0</v>
      </c>
      <c r="D1620" s="7" t="n">
        <f>HYPERLINK("https://www.somogyi.hu/product/home-dc-1k-dc-zsinorkozi-kapcsolo-2x15-cm-vezetek-3a-36w-dc-1k-15056","https://www.somogyi.hu/product/home-dc-1k-dc-zsinorkozi-kapcsolo-2x15-cm-vezetek-3a-36w-dc-1k-15056")</f>
        <v>0.0</v>
      </c>
      <c r="E1620" s="7" t="n">
        <f>HYPERLINK("https://www.somogyi.hu/data/img/product_main_images/small/15056.jpg","https://www.somogyi.hu/data/img/product_main_images/small/15056.jpg")</f>
        <v>0.0</v>
      </c>
      <c r="F1620" s="2" t="inlineStr">
        <is>
          <t>5999084930905</t>
        </is>
      </c>
      <c r="G1620" s="4" t="inlineStr">
        <is>
          <t>Hogyan teheti egyszerűvé a 12V-os eszközök energiaellátását és vezérlését?
A Home DC 1K zsinórközi kapcsoló kiváló megoldást kínál a 12V-os áramkörök praktikus és biztonságos vezérlésére. Legyen szó toldásról, elosztásról vagy betáplálási pont létrehozásáról, ez a kompakt és könnyen használható kapcsoló ideális választás a különféle DC eszközök üzemeltetéséhez. A 2 x 15 cm hosszúságú kábelekkel ellátott kapcsoló egyszerűen csatlakoztatható, így gyors és problémamentes telepítést tesz lehetővé.
Sokoldalú felhasználhatóság
A Home DC 1K zsinórközi kapcsoló 12V-os rendszerekhez készült, és akár 3A áramerősséget is képes biztonságosan kezelni, ami maximálisan 36W teljesítményű eszközök vezérlését teszi lehetővé. A kapcsolóval könnyedén létrehozhat új betáplálási pontot, eloszthatja az áramot, vagy toldhatja a meglévő vezetékeket. Az eszköz ideális LED szalagok, ventilátorok, kisfeszültségű világítási rendszerek és egyéb 12V-os DC eszközök vezérlésére.
Egyszerű csatlakoztathatóság
A kapcsoló mindkét végén található DC aljzat és dugó (2 x 15 cm-es kábelhosszal) lehetővé teszi a gyors csatlakoztatást, így nincs szükség bonyolult szerelési munkákra. A középen elhelyezett kapcsolóval könnyedén ki- és bekapcsolhatja az áramellátást anélkül, hogy le kellene választania a csatlakozókat.
Megbízható teljesítmény és tartós kivitel
A Home DC 1K kapcsoló robusztus kialakításának köszönhetően hosszú távon is megbízható működést biztosít. Az eszköz minőségi anyagokból készült, így ellenáll a mindennapi használat során fellépő igénybevételnek. A stabil csatlakozók és a precíz kapcsolómechanizmus garantálják a biztonságos és hatékony működést.
Miért válassza a Home DC 1K zsinórközi kapcsolót?
– Kiválóan alkalmas 12V-os DC eszközök vezérlésére, akár 36W teljesítményig 
– Egyszerűen használható, középen elhelyezett kapcsolóval 
– 2 x 15 cm-es kábelhosszal ellátott, aljzatos és dugós csatlakozó a gyors telepítés érdekében 
– Többféle célra alkalmazható: toldás, elosztás vagy betáplálási pont létrehozása 
– Strapabíró kivitel a hosszú élettartamért
Ne vesztegesse idejét bonyolult szerelési megoldásokra! Rendelje meg a Home DC 1K zsinórközi kapcsolót, és élvezze a gyors, egyszerű és biztonságos vezérlést minden 12V-os rendszerben!</t>
        </is>
      </c>
    </row>
    <row r="1621">
      <c r="A1621" s="3" t="inlineStr">
        <is>
          <t>VBC 100/BK</t>
        </is>
      </c>
      <c r="B1621" s="2" t="inlineStr">
        <is>
          <t>Home VBC 100/BK akkumulátorcsipesz, 100 A, szigetelt, forrasztható, 12 V, 110 mm, fekete</t>
        </is>
      </c>
      <c r="C1621" s="1" t="n">
        <v>659.0</v>
      </c>
      <c r="D1621" s="7" t="n">
        <f>HYPERLINK("https://www.somogyi.hu/product/home-vbc-100-bk-akkumulatorcsipesz-100-a-szigetelt-forraszthato-12-v-110-mm-fekete-vbc-100-bk-4214","https://www.somogyi.hu/product/home-vbc-100-bk-akkumulatorcsipesz-100-a-szigetelt-forraszthato-12-v-110-mm-fekete-vbc-100-bk-4214")</f>
        <v>0.0</v>
      </c>
      <c r="E1621" s="7" t="n">
        <f>HYPERLINK("https://www.somogyi.hu/data/img/product_main_images/small/04214.jpg","https://www.somogyi.hu/data/img/product_main_images/small/04214.jpg")</f>
        <v>0.0</v>
      </c>
      <c r="F1621" s="2" t="inlineStr">
        <is>
          <t>5998312737453</t>
        </is>
      </c>
      <c r="G1621" s="4" t="inlineStr">
        <is>
          <t>Nálunk garantáltan megtalálja az igényeinek megfelelő akkumulátor csipeszeket!
A fekete színű VBC 100/ BK (100 A) szigetelt, illetve forrasztható kivitelben kapható. Felhasználhatósága: 12 DC. A termék hossza: 110 mm. Válassza a minőségi termékeket és rendeljen webáruházunkból.</t>
        </is>
      </c>
    </row>
    <row r="1622">
      <c r="A1622" s="3" t="inlineStr">
        <is>
          <t>VBC 30/BK</t>
        </is>
      </c>
      <c r="B1622" s="2" t="inlineStr">
        <is>
          <t>Home VBC 30/BK akkumulátorcsipesz, 30 A, szigetelt, forrasztható, 12 V, 75 mm, fekete</t>
        </is>
      </c>
      <c r="C1622" s="1" t="n">
        <v>249.0</v>
      </c>
      <c r="D1622" s="7" t="n">
        <f>HYPERLINK("https://www.somogyi.hu/product/home-vbc-30-bk-akkumulatorcsipesz-30-a-szigetelt-forraszthato-12-v-75-mm-fekete-vbc-30-bk-4213","https://www.somogyi.hu/product/home-vbc-30-bk-akkumulatorcsipesz-30-a-szigetelt-forraszthato-12-v-75-mm-fekete-vbc-30-bk-4213")</f>
        <v>0.0</v>
      </c>
      <c r="E1622" s="7" t="n">
        <f>HYPERLINK("https://www.somogyi.hu/data/img/product_main_images/small/04213.jpg","https://www.somogyi.hu/data/img/product_main_images/small/04213.jpg")</f>
        <v>0.0</v>
      </c>
      <c r="F1622" s="2" t="inlineStr">
        <is>
          <t>5998312737446</t>
        </is>
      </c>
      <c r="G1622" s="4" t="inlineStr">
        <is>
          <t>Nálunk garantáltan megtalálja az igényeinek megfelelő akkumulátor csipeszeket!
A fekete színű VBC 30/BK (30 A) szigetelt, illetve forrasztható kivitelben kapható. Felhasználhatósága: 12 DC. A termék hossza: 75 mm. Válassza a minőségi termékeket és rendeljen webáruházunkból.</t>
        </is>
      </c>
    </row>
    <row r="1623">
      <c r="A1623" s="3" t="inlineStr">
        <is>
          <t>DC 2CS</t>
        </is>
      </c>
      <c r="B1623" s="2" t="inlineStr">
        <is>
          <t>Home DC 2CS, DC csatlakozópár sorkapoccsal, 3A, 36W, 0,5-1 mm2 vezeték</t>
        </is>
      </c>
      <c r="C1623" s="1" t="n">
        <v>649.0</v>
      </c>
      <c r="D1623" s="7" t="n">
        <f>HYPERLINK("https://www.somogyi.hu/product/home-dc-2cs-dc-csatlakozopar-sorkapoccsal-3a-36w-0-5-1-mm2-vezetek-dc-2cs-15057","https://www.somogyi.hu/product/home-dc-2cs-dc-csatlakozopar-sorkapoccsal-3a-36w-0-5-1-mm2-vezetek-dc-2cs-15057")</f>
        <v>0.0</v>
      </c>
      <c r="E1623" s="7" t="n">
        <f>HYPERLINK("https://www.somogyi.hu/data/img/product_main_images/small/15057.jpg","https://www.somogyi.hu/data/img/product_main_images/small/15057.jpg")</f>
        <v>0.0</v>
      </c>
      <c r="F1623" s="2" t="inlineStr">
        <is>
          <t>5999084930912</t>
        </is>
      </c>
      <c r="G1623" s="4" t="inlineStr">
        <is>
          <t>Hogyan hozhat létre gyorsan és egyszerűen biztonságos áramköri csatlakozást forrasztás nélkül?
A Home DC 2CS csatlakozópár sorkapoccsal praktikus megoldást kínál, ha stabil és megbízható 12V-os DC csatlakoztatásra van szükség. Ideális választás toldáshoz, elosztáshoz, illetve új betáplálási pontok létrehozásához. Forrasztás nélküli kialakításának köszönhetően egyszerű és időhatékony használatot biztosít, így Ön gyorsan végezhet minden elektromos szereléssel.
Könnyű telepítés, forrasztás nélkül
A DC csatlakozópár sorkapcsos rögzítési rendszerrel rendelkezik, amely lehetővé teszi a biztonságos csatlakoztatást anélkül, hogy forrasztani kellene. A sorkapcsok Ø0,5-1 mm² átmérőjű kábelekkel kompatibilisek, így sokféle elektromos projektben felhasználhatók, legyen szó LED világításról, alacsony feszültségű tápegységekről vagy egyéb 12V-os eszközökről.
Megbízható teljesítmény és széles körű felhasználhatóság
A Home DC 2CS csatlakozópár 3A áramerősséget és 36W maximális teljesítményt képes kezelni, így garantáltan biztonságos megoldást nyújt a kisfeszültségű rendszerekhez. Az erős csatlakozások stabil áramellátást biztosítanak, és minimalizálják a kontakthibák kockázatát, ezáltal hozzájárulva a zavartalan működéshez.
Praktikus kialakítás és tartós anyaghasználat
A csatlakozópár párban kapható, így azonnal felhasználható bármilyen projekthez. Az időtálló, strapabíró anyaghasználat és a precíz sorkapcsos kialakítás hosszú élettartamot biztosít, még rendszeres használat mellett is.
Miért válassza a Home DC 2CS csatlakozópárt?
– Könnyen és gyorsan telepíthető forrasztás nélkül 
– Kompatibilis Ø0,5-1 mm² átmérőjű kábelekkel 
– Akár 3A áramerősségig és 36W teljesítményig biztonságosan használható 
– Ideális toldáshoz, elosztáshoz, betáplálási pont létrehozásához 
– Hosszú élettartamú, megbízható megoldás különféle elektromos projektekhez
Válassza a Home DC 2CS csatlakozópárt, ha gyors, biztonságos és forrasztásmentes csatlakozási megoldásra van szüksége! Ideális választás minden olyan helyzetben, ahol fontos a stabil áramellátás és az egyszerű telepítés.</t>
        </is>
      </c>
    </row>
    <row r="1624">
      <c r="A1624" s="6" t="inlineStr">
        <is>
          <t xml:space="preserve">   Audio-video kiegészítők / Szigeteletlen kábelsaru</t>
        </is>
      </c>
      <c r="B1624" s="6" t="inlineStr">
        <is>
          <t/>
        </is>
      </c>
      <c r="C1624" s="6" t="inlineStr">
        <is>
          <t/>
        </is>
      </c>
      <c r="D1624" s="6" t="inlineStr">
        <is>
          <t/>
        </is>
      </c>
      <c r="E1624" s="6" t="inlineStr">
        <is>
          <t/>
        </is>
      </c>
      <c r="F1624" s="6" t="inlineStr">
        <is>
          <t/>
        </is>
      </c>
      <c r="G1624" s="6" t="inlineStr">
        <is>
          <t/>
        </is>
      </c>
    </row>
    <row r="1625">
      <c r="A1625" s="3" t="inlineStr">
        <is>
          <t>KSD 2,8-0,5/Cu</t>
        </is>
      </c>
      <c r="B1625" s="2" t="inlineStr">
        <is>
          <t>Home KSD 2,8-0,5/Cu kábelsaru, réz</t>
        </is>
      </c>
      <c r="C1625" s="1" t="n">
        <v>25.0</v>
      </c>
      <c r="D1625" s="7" t="n">
        <f>HYPERLINK("https://www.somogyi.hu/product/home-ksd-2-8-0-5-cu-kabelsaru-rez-ksd-2-8-0-5-cu-5128","https://www.somogyi.hu/product/home-ksd-2-8-0-5-cu-kabelsaru-rez-ksd-2-8-0-5-cu-5128")</f>
        <v>0.0</v>
      </c>
      <c r="E1625" s="7" t="n">
        <f>HYPERLINK("https://www.somogyi.hu/data/img/product_main_images/small/05128.jpg","https://www.somogyi.hu/data/img/product_main_images/small/05128.jpg")</f>
        <v>0.0</v>
      </c>
      <c r="F1625" s="2" t="inlineStr">
        <is>
          <t>5998312745168</t>
        </is>
      </c>
      <c r="G1625" s="4" t="inlineStr">
        <is>
          <t>Széles kínálatunkban könnyedén megtalálhatja az igényeinek megfelelő  kialakítással rendelkező sarukat! 
A réz alapanyagú KSD 2,8-0,5/Cu egy szigeteletlen kábel sarú, amely 2,8 x 0,5 mm-es méretben kapható. Válassza a minőségi termékeket és rendeljen webáruházunkból.</t>
        </is>
      </c>
    </row>
    <row r="1626">
      <c r="A1626" s="3" t="inlineStr">
        <is>
          <t>KSH 4,8-0,5/Cu</t>
        </is>
      </c>
      <c r="B1626" s="2" t="inlineStr">
        <is>
          <t>Home KSH 4,8-0,5/Cu kábelsaru, réz</t>
        </is>
      </c>
      <c r="C1626" s="1" t="n">
        <v>29.0</v>
      </c>
      <c r="D1626" s="7" t="n">
        <f>HYPERLINK("https://www.somogyi.hu/product/home-ksh-4-8-0-5-cu-kabelsaru-rez-ksh-4-8-0-5-cu-5130","https://www.somogyi.hu/product/home-ksh-4-8-0-5-cu-kabelsaru-rez-ksh-4-8-0-5-cu-5130")</f>
        <v>0.0</v>
      </c>
      <c r="E1626" s="7" t="n">
        <f>HYPERLINK("https://www.somogyi.hu/data/img/product_main_images/small/05130.jpg","https://www.somogyi.hu/data/img/product_main_images/small/05130.jpg")</f>
        <v>0.0</v>
      </c>
      <c r="F1626" s="2" t="inlineStr">
        <is>
          <t>5998312745182</t>
        </is>
      </c>
      <c r="G1626" s="4" t="inlineStr">
        <is>
          <t>Széles kínálatunkban könnyedén megtalálhatja az igényeinek megfelelő  kialakítással rendelkező sarukat! 
A réz alapanyagú KSH 4,8-0,5/Cu egy szigeteletlen kábel sarú, amely 4,8 x 0,5 mm-es méretben kapható. Válassza a minőségi termékeket és rendeljen webáruházunkból.</t>
        </is>
      </c>
    </row>
    <row r="1627">
      <c r="A1627" s="3" t="inlineStr">
        <is>
          <t>KSH 6,3-0,5/Cu</t>
        </is>
      </c>
      <c r="B1627" s="2" t="inlineStr">
        <is>
          <t>Home KSH 6,3-0,5/Cu kábelsaru, réz</t>
        </is>
      </c>
      <c r="C1627" s="1" t="n">
        <v>35.0</v>
      </c>
      <c r="D1627" s="7" t="n">
        <f>HYPERLINK("https://www.somogyi.hu/product/home-ksh-6-3-0-5-cu-kabelsaru-rez-ksh-6-3-0-5-cu-5132","https://www.somogyi.hu/product/home-ksh-6-3-0-5-cu-kabelsaru-rez-ksh-6-3-0-5-cu-5132")</f>
        <v>0.0</v>
      </c>
      <c r="E1627" s="7" t="n">
        <f>HYPERLINK("https://www.somogyi.hu/data/img/product_main_images/small/05132.jpg","https://www.somogyi.hu/data/img/product_main_images/small/05132.jpg")</f>
        <v>0.0</v>
      </c>
      <c r="F1627" s="2" t="inlineStr">
        <is>
          <t>5998312745205</t>
        </is>
      </c>
      <c r="G1627" s="4" t="inlineStr">
        <is>
          <t>Széles kínálatunkban könnyedén megtalálhatja az igényeinek megfelelő  kialakítással rendelkező sarukat! 
A réz alapanyagú KSH 6,3-0,5/Cu egy szigeteletlen kábel sarú, amely 6,3 x 0,5 mm-es méretben kapható. Válassza a minőségi termékeket és rendeljen webáruházunkból.</t>
        </is>
      </c>
    </row>
    <row r="1628">
      <c r="A1628" s="3" t="inlineStr">
        <is>
          <t>KSH 6,3-0,5/Sn</t>
        </is>
      </c>
      <c r="B1628" s="2" t="inlineStr">
        <is>
          <t>Home KSH 6,3-0,5/Cu kábelsaru, ónozott réz</t>
        </is>
      </c>
      <c r="C1628" s="1" t="n">
        <v>35.0</v>
      </c>
      <c r="D1628" s="7" t="n">
        <f>HYPERLINK("https://www.somogyi.hu/product/home-ksh-6-3-0-5-cu-kabelsaru-onozott-rez-ksh-6-3-0-5-sn-5133","https://www.somogyi.hu/product/home-ksh-6-3-0-5-cu-kabelsaru-onozott-rez-ksh-6-3-0-5-sn-5133")</f>
        <v>0.0</v>
      </c>
      <c r="E1628" s="7" t="n">
        <f>HYPERLINK("https://www.somogyi.hu/data/img/product_main_images/small/05133.jpg","https://www.somogyi.hu/data/img/product_main_images/small/05133.jpg")</f>
        <v>0.0</v>
      </c>
      <c r="F1628" s="2" t="inlineStr">
        <is>
          <t>5998312745212</t>
        </is>
      </c>
      <c r="G1628" s="4" t="inlineStr">
        <is>
          <t>Széles kínálatunkban könnyedén megtalálhatja az igényeinek megfelelő  kialakítással rendelkező sarukat! 
A ónozott réz alapanyagú KSH 6,3-0,5/Cu egy szigeteletlen kábel sarú, amely 6,3 x 0,5 mm-es méretben kapható. Válassza a minőségi termékeket és rendeljen webáruházunkból.</t>
        </is>
      </c>
    </row>
    <row r="1629">
      <c r="A1629" s="3" t="inlineStr">
        <is>
          <t>KSD 4,8-0,5/Cu</t>
        </is>
      </c>
      <c r="B1629" s="2" t="inlineStr">
        <is>
          <t>Home KSD 4,8-0,5/Cu kábelsaru, réz</t>
        </is>
      </c>
      <c r="C1629" s="1" t="n">
        <v>29.0</v>
      </c>
      <c r="D1629" s="7" t="n">
        <f>HYPERLINK("https://www.somogyi.hu/product/home-ksd-4-8-0-5-cu-kabelsaru-rez-ksd-4-8-0-5-cu-5134","https://www.somogyi.hu/product/home-ksd-4-8-0-5-cu-kabelsaru-rez-ksd-4-8-0-5-cu-5134")</f>
        <v>0.0</v>
      </c>
      <c r="E1629" s="7" t="n">
        <f>HYPERLINK("https://www.somogyi.hu/data/img/product_main_images/small/05134.jpg","https://www.somogyi.hu/data/img/product_main_images/small/05134.jpg")</f>
        <v>0.0</v>
      </c>
      <c r="F1629" s="2" t="inlineStr">
        <is>
          <t>5998312745229</t>
        </is>
      </c>
      <c r="G1629" s="4" t="inlineStr">
        <is>
          <t>Széles kínálatunkban könnyedén megtalálhatja az igényeinek megfelelő  kialakítással rendelkező sarukat! 
A réz alapanyagú KSD 4,8-0,5/Cu egy szigeteletlen kábel sarú, amely 4,8 x 0,5 mm-es méretben kapható. Válassza a minőségi termékeket és rendeljen webáruházunkból.</t>
        </is>
      </c>
    </row>
    <row r="1630">
      <c r="A1630" s="3" t="inlineStr">
        <is>
          <t>KSD 6,3-0,8/Cu</t>
        </is>
      </c>
      <c r="B1630" s="2" t="inlineStr">
        <is>
          <t>Home KSD 6,3-0,8/Cu kábelsaru, réz</t>
        </is>
      </c>
      <c r="C1630" s="1" t="n">
        <v>35.0</v>
      </c>
      <c r="D1630" s="7" t="n">
        <f>HYPERLINK("https://www.somogyi.hu/product/home-ksd-6-3-0-8-cu-kabelsaru-rez-ksd-6-3-0-8-cu-5136","https://www.somogyi.hu/product/home-ksd-6-3-0-8-cu-kabelsaru-rez-ksd-6-3-0-8-cu-5136")</f>
        <v>0.0</v>
      </c>
      <c r="E1630" s="7" t="n">
        <f>HYPERLINK("https://www.somogyi.hu/data/img/product_main_images/small/05136.jpg","https://www.somogyi.hu/data/img/product_main_images/small/05136.jpg")</f>
        <v>0.0</v>
      </c>
      <c r="F1630" s="2" t="inlineStr">
        <is>
          <t>5998312745243</t>
        </is>
      </c>
      <c r="G1630" s="4" t="inlineStr">
        <is>
          <t>Széles kínálatunkban könnyedén megtalálhatja az igényeinek megfelelő  kialakítással rendelkező sarukat! 
A réz alapanyagú KSD 6,3-0,8/Cu egy szigeteletlen kábel sarú, amely 6,3 x 0,8 mm-es méretben kapható. Válassza a minőségi termékeket és rendeljen webáruházunkból.</t>
        </is>
      </c>
    </row>
    <row r="1631">
      <c r="A1631" s="3" t="inlineStr">
        <is>
          <t>KSH 4,8-0,5/Sn</t>
        </is>
      </c>
      <c r="B1631" s="2" t="inlineStr">
        <is>
          <t>Home KSH 4,8-0,5/Sn kábelsaru, ónozott réz</t>
        </is>
      </c>
      <c r="C1631" s="1" t="n">
        <v>16.0</v>
      </c>
      <c r="D1631" s="7" t="n">
        <f>HYPERLINK("https://www.somogyi.hu/product/home-ksh-4-8-0-5-sn-kabelsaru-onozott-rez-ksh-4-8-0-5-sn-5131","https://www.somogyi.hu/product/home-ksh-4-8-0-5-sn-kabelsaru-onozott-rez-ksh-4-8-0-5-sn-5131")</f>
        <v>0.0</v>
      </c>
      <c r="E1631" s="7" t="n">
        <f>HYPERLINK("https://www.somogyi.hu/data/img/product_main_images/small/05131.jpg","https://www.somogyi.hu/data/img/product_main_images/small/05131.jpg")</f>
        <v>0.0</v>
      </c>
      <c r="F1631" s="2" t="inlineStr">
        <is>
          <t>5998312745199</t>
        </is>
      </c>
      <c r="G1631" s="4" t="inlineStr">
        <is>
          <t>Széles kínálatunkban könnyedén megtalálhatja az igényeinek megfelelő  kialakítással rendelkező sarukat! 
A ónozott réz alapanyagú KSH 4,8-0,5/Sn egy szigeteletlen kábel sarú, amely 4,8 x 0,5 mm-es méretben kapható. Válassza a minőségi termékeket és rendeljen webáruházunkból.</t>
        </is>
      </c>
    </row>
    <row r="1632">
      <c r="A1632" s="3" t="inlineStr">
        <is>
          <t>KSH 2,8-0,5/Cu</t>
        </is>
      </c>
      <c r="B1632" s="2" t="inlineStr">
        <is>
          <t>Home KSH 2,8-0,5/Cu kábelsaru, réz</t>
        </is>
      </c>
      <c r="C1632" s="1" t="n">
        <v>25.0</v>
      </c>
      <c r="D1632" s="7" t="n">
        <f>HYPERLINK("https://www.somogyi.hu/product/home-ksh-2-8-0-5-cu-kabelsaru-rez-ksh-2-8-0-5-cu-5126","https://www.somogyi.hu/product/home-ksh-2-8-0-5-cu-kabelsaru-rez-ksh-2-8-0-5-cu-5126")</f>
        <v>0.0</v>
      </c>
      <c r="E1632" s="7" t="n">
        <f>HYPERLINK("https://www.somogyi.hu/data/img/product_main_images/small/05126.jpg","https://www.somogyi.hu/data/img/product_main_images/small/05126.jpg")</f>
        <v>0.0</v>
      </c>
      <c r="F1632" s="2" t="inlineStr">
        <is>
          <t>5998312745144</t>
        </is>
      </c>
      <c r="G1632" s="4" t="inlineStr">
        <is>
          <t>Széles kínálatunkban könnyedén megtalálhatja az igényeinek megfelelő  kialakítással rendelkező sarukat! 
A réz alapanyagú KSH 2,8-0,5/Cu egy szigeteletlen kábel sarú, amely 2,8 x 0,5 mm-es méretben kapható. Válassza a minőségi termékeket és rendeljen webáruházunkból.</t>
        </is>
      </c>
    </row>
    <row r="1633">
      <c r="A1633" s="6" t="inlineStr">
        <is>
          <t xml:space="preserve">   Audio-video kiegészítők / Biztosítékfoglalat</t>
        </is>
      </c>
      <c r="B1633" s="6" t="inlineStr">
        <is>
          <t/>
        </is>
      </c>
      <c r="C1633" s="6" t="inlineStr">
        <is>
          <t/>
        </is>
      </c>
      <c r="D1633" s="6" t="inlineStr">
        <is>
          <t/>
        </is>
      </c>
      <c r="E1633" s="6" t="inlineStr">
        <is>
          <t/>
        </is>
      </c>
      <c r="F1633" s="6" t="inlineStr">
        <is>
          <t/>
        </is>
      </c>
      <c r="G1633" s="6" t="inlineStr">
        <is>
          <t/>
        </is>
      </c>
    </row>
    <row r="1634">
      <c r="A1634" s="3" t="inlineStr">
        <is>
          <t>BF 53L</t>
        </is>
      </c>
      <c r="B1634" s="2" t="inlineStr">
        <is>
          <t>Home BF 53L biztosítékfoglalat, 5x20 mm, csavaros rögzítésű</t>
        </is>
      </c>
      <c r="C1634" s="1" t="n">
        <v>249.0</v>
      </c>
      <c r="D1634" s="7" t="n">
        <f>HYPERLINK("https://www.somogyi.hu/product/home-bf-53l-biztositekfoglalat-5x20-mm-csavaros-rogzitesu-bf-53l-3272","https://www.somogyi.hu/product/home-bf-53l-biztositekfoglalat-5x20-mm-csavaros-rogzitesu-bf-53l-3272")</f>
        <v>0.0</v>
      </c>
      <c r="E1634" s="7" t="n">
        <f>HYPERLINK("https://www.somogyi.hu/data/img/product_main_images/small/03272.jpg","https://www.somogyi.hu/data/img/product_main_images/small/03272.jpg")</f>
        <v>0.0</v>
      </c>
      <c r="F1634" s="2" t="inlineStr">
        <is>
          <t>5998312735961</t>
        </is>
      </c>
      <c r="G1634" s="4" t="inlineStr">
        <is>
          <t>A BF 53L egy csavaros kialakítással rendelkező lengő biztosítékfoglalat. Mérete: 5 x 20 cm. Válassza a minőségi termékeket és rendeljen webáruházunkból.</t>
        </is>
      </c>
    </row>
    <row r="1635">
      <c r="A1635" s="3" t="inlineStr">
        <is>
          <t>BF 52B</t>
        </is>
      </c>
      <c r="B1635" s="2" t="inlineStr">
        <is>
          <t>Home BF 52B biztosítékfoglalat, 5x20 mm, kézzel nyitható</t>
        </is>
      </c>
      <c r="C1635" s="1" t="n">
        <v>419.0</v>
      </c>
      <c r="D1635" s="7" t="n">
        <f>HYPERLINK("https://www.somogyi.hu/product/home-bf-52b-biztositekfoglalat-5x20-mm-kezzel-nyithato-bf-52b-1718","https://www.somogyi.hu/product/home-bf-52b-biztositekfoglalat-5x20-mm-kezzel-nyithato-bf-52b-1718")</f>
        <v>0.0</v>
      </c>
      <c r="E1635" s="7" t="n">
        <f>HYPERLINK("https://www.somogyi.hu/data/img/product_main_images/small/01718.jpg","https://www.somogyi.hu/data/img/product_main_images/small/01718.jpg")</f>
        <v>0.0</v>
      </c>
      <c r="F1635" s="2" t="inlineStr">
        <is>
          <t>5998312701409</t>
        </is>
      </c>
      <c r="G1635" s="4" t="inlineStr">
        <is>
          <t>A BF 52B egy kézzel nyitható beépíthető biztosítékfoglalat. Mérete: 5 x 20 cm. válassza a minőségi termékeket és rendeljen webáruházunkból.</t>
        </is>
      </c>
    </row>
    <row r="1636">
      <c r="A1636" s="6" t="inlineStr">
        <is>
          <t xml:space="preserve">   Audio-video kiegészítők / Üvegcsöves biztosíték</t>
        </is>
      </c>
      <c r="B1636" s="6" t="inlineStr">
        <is>
          <t/>
        </is>
      </c>
      <c r="C1636" s="6" t="inlineStr">
        <is>
          <t/>
        </is>
      </c>
      <c r="D1636" s="6" t="inlineStr">
        <is>
          <t/>
        </is>
      </c>
      <c r="E1636" s="6" t="inlineStr">
        <is>
          <t/>
        </is>
      </c>
      <c r="F1636" s="6" t="inlineStr">
        <is>
          <t/>
        </is>
      </c>
      <c r="G1636" s="6" t="inlineStr">
        <is>
          <t/>
        </is>
      </c>
    </row>
    <row r="1637">
      <c r="A1637" s="3" t="inlineStr">
        <is>
          <t>F8 A</t>
        </is>
      </c>
      <c r="B1637" s="2" t="inlineStr">
        <is>
          <t>Home F8 A biztosítékbetét, 5x20 mm, gyors, 8 A</t>
        </is>
      </c>
      <c r="C1637" s="1" t="n">
        <v>59.0</v>
      </c>
      <c r="D1637" s="7" t="n">
        <f>HYPERLINK("https://www.somogyi.hu/product/home-f8-a-biztositekbetet-5x20-mm-gyors-8-a-f8-a-1754","https://www.somogyi.hu/product/home-f8-a-biztositekbetet-5x20-mm-gyors-8-a-f8-a-1754")</f>
        <v>0.0</v>
      </c>
      <c r="E1637" s="7" t="n">
        <f>HYPERLINK("https://www.somogyi.hu/data/img/product_main_images/small/01754.jpg","https://www.somogyi.hu/data/img/product_main_images/small/01754.jpg")</f>
        <v>0.0</v>
      </c>
      <c r="F1637" s="2" t="inlineStr">
        <is>
          <t>5998312702079</t>
        </is>
      </c>
      <c r="G1637" s="4" t="inlineStr">
        <is>
          <t>Széles kínálatunkban könnyedén megtalálhatja az igényeinek megfelelő kialakítással rendelkező biztosítékokat! 
Az F8 A típusú biztosíték a következő tulajdonsággal rendelkezik: 5 x 20 mm gyors. Válassza a minőségi termékeket és rendeljen webáruházunkból.</t>
        </is>
      </c>
    </row>
    <row r="1638">
      <c r="A1638" s="3" t="inlineStr">
        <is>
          <t>T2 A</t>
        </is>
      </c>
      <c r="B1638" s="2" t="inlineStr">
        <is>
          <t>Home T2 A biztosítékbetét, 5x20 mm, lomha, 2 A</t>
        </is>
      </c>
      <c r="C1638" s="1" t="n">
        <v>89.0</v>
      </c>
      <c r="D1638" s="7" t="n">
        <f>HYPERLINK("https://www.somogyi.hu/product/home-t2-a-biztositekbetet-5x20-mm-lomha-2-a-t2-a-1911","https://www.somogyi.hu/product/home-t2-a-biztositekbetet-5x20-mm-lomha-2-a-t2-a-1911")</f>
        <v>0.0</v>
      </c>
      <c r="E1638" s="7" t="n">
        <f>HYPERLINK("https://www.somogyi.hu/data/img/product_main_images/small/01911.jpg","https://www.somogyi.hu/data/img/product_main_images/small/01911.jpg")</f>
        <v>0.0</v>
      </c>
      <c r="F1638" s="2" t="inlineStr">
        <is>
          <t>5998312704745</t>
        </is>
      </c>
      <c r="G1638" s="4" t="inlineStr">
        <is>
          <t>Széles kínálatunkban könnyedén megtalálhatja az igényeinek megfelelő kialakítással rendelkező biztosítékokat! 
Az T2 A típusú biztosíték a következő tulajdonsággal rendelkezik: 5 x 20 mm lomha. Válassza a minőségi termékeket és rendeljen webáruházunkból.</t>
        </is>
      </c>
    </row>
    <row r="1639">
      <c r="A1639" s="3" t="inlineStr">
        <is>
          <t>F4 A</t>
        </is>
      </c>
      <c r="B1639" s="2" t="inlineStr">
        <is>
          <t>Home F4 A biztosítékbetét, 5x20 mm, gyors, 4 A</t>
        </is>
      </c>
      <c r="C1639" s="1" t="n">
        <v>59.0</v>
      </c>
      <c r="D1639" s="7" t="n">
        <f>HYPERLINK("https://www.somogyi.hu/product/home-f4-a-biztositekbetet-5x20-mm-gyors-4-a-f4-a-1749","https://www.somogyi.hu/product/home-f4-a-biztositekbetet-5x20-mm-gyors-4-a-f4-a-1749")</f>
        <v>0.0</v>
      </c>
      <c r="E1639" s="7" t="n">
        <f>HYPERLINK("https://www.somogyi.hu/data/img/product_main_images/small/01749.jpg","https://www.somogyi.hu/data/img/product_main_images/small/01749.jpg")</f>
        <v>0.0</v>
      </c>
      <c r="F1639" s="2" t="inlineStr">
        <is>
          <t>5998312702017</t>
        </is>
      </c>
      <c r="G1639" s="4" t="inlineStr">
        <is>
          <t>Széles kínálatunkban könnyedén megtalálhatja az igényeinek megfelelő kialakítással rendelkező biztosítékokat! 
Az F4 A típusú biztosíték a következő tulajdonsággal rendelkezik: 5 x 20 mm gyors. Válassza a minőségi termékeket és rendeljen webáruházunkból.</t>
        </is>
      </c>
    </row>
    <row r="1640">
      <c r="A1640" s="3" t="inlineStr">
        <is>
          <t>T6,3 A</t>
        </is>
      </c>
      <c r="B1640" s="2" t="inlineStr">
        <is>
          <t>Home T6,3 A biztosítékbetét, 5x20 mm, lomha, 6,3 A</t>
        </is>
      </c>
      <c r="C1640" s="1" t="n">
        <v>89.0</v>
      </c>
      <c r="D1640" s="7" t="n">
        <f>HYPERLINK("https://www.somogyi.hu/product/home-t6-3-a-biztositekbetet-5x20-mm-lomha-6-3-a-t6-3-a-1916","https://www.somogyi.hu/product/home-t6-3-a-biztositekbetet-5x20-mm-lomha-6-3-a-t6-3-a-1916")</f>
        <v>0.0</v>
      </c>
      <c r="E1640" s="7" t="n">
        <f>HYPERLINK("https://www.somogyi.hu/data/img/product_main_images/small/01916.jpg","https://www.somogyi.hu/data/img/product_main_images/small/01916.jpg")</f>
        <v>0.0</v>
      </c>
      <c r="F1640" s="2" t="inlineStr">
        <is>
          <t>5998312704813</t>
        </is>
      </c>
      <c r="G1640" s="4" t="inlineStr">
        <is>
          <t>Széles kínálatunkban könnyedén megtalálhatja az igényeinek megfelelő kialakítással rendelkező biztosítékokat! 
A T6,3 A típusú biztosíték a következő tulajdonsággal rendelkezik: 5 x 20 mm lomha. Válassza a minőségi termékeket és rendeljen webáruházunkból.</t>
        </is>
      </c>
    </row>
    <row r="1641">
      <c r="A1641" s="3" t="inlineStr">
        <is>
          <t>F6,3 A</t>
        </is>
      </c>
      <c r="B1641" s="2" t="inlineStr">
        <is>
          <t>Home F6,3 A biztosítékbetét, 5x20 mm, gyors, 6,3 A</t>
        </is>
      </c>
      <c r="C1641" s="1" t="n">
        <v>59.0</v>
      </c>
      <c r="D1641" s="7" t="n">
        <f>HYPERLINK("https://www.somogyi.hu/product/home-f6-3-a-biztositekbetet-5x20-mm-gyors-6-3-a-f6-3-a-1733","https://www.somogyi.hu/product/home-f6-3-a-biztositekbetet-5x20-mm-gyors-6-3-a-f6-3-a-1733")</f>
        <v>0.0</v>
      </c>
      <c r="E1641" s="7" t="n">
        <f>HYPERLINK("https://www.somogyi.hu/data/img/product_main_images/small/01733.jpg","https://www.somogyi.hu/data/img/product_main_images/small/01733.jpg")</f>
        <v>0.0</v>
      </c>
      <c r="F1641" s="2" t="inlineStr">
        <is>
          <t>5998312701843</t>
        </is>
      </c>
      <c r="G1641" s="4" t="inlineStr">
        <is>
          <t>Széles kínálatunkban könnyedén megtalálhatja az igényeinek megfelelő kialakítással rendelkező biztosítékokat! 
Az F6,3 A típusú biztosíték a következő tulajdonsággal rendelkezik: 5 x 20 mm gyors. Válassza a minőségi termékeket és rendeljen webáruházunkból.</t>
        </is>
      </c>
    </row>
    <row r="1642">
      <c r="A1642" s="3" t="inlineStr">
        <is>
          <t>F100 MA</t>
        </is>
      </c>
      <c r="B1642" s="2" t="inlineStr">
        <is>
          <t>Home F100 MA biztosítékbetét, 5x20 mm, gyors, 100 mA</t>
        </is>
      </c>
      <c r="C1642" s="1" t="n">
        <v>59.0</v>
      </c>
      <c r="D1642" s="7" t="n">
        <f>HYPERLINK("https://www.somogyi.hu/product/home-f100-ma-biztositekbetet-5x20-mm-gyors-100-ma-f100-ma-1738","https://www.somogyi.hu/product/home-f100-ma-biztositekbetet-5x20-mm-gyors-100-ma-f100-ma-1738")</f>
        <v>0.0</v>
      </c>
      <c r="E1642" s="7" t="n">
        <f>HYPERLINK("https://www.somogyi.hu/data/img/product_main_images/small/01738.jpg","https://www.somogyi.hu/data/img/product_main_images/small/01738.jpg")</f>
        <v>0.0</v>
      </c>
      <c r="F1642" s="2" t="inlineStr">
        <is>
          <t>5998312701904</t>
        </is>
      </c>
      <c r="G1642" s="4" t="inlineStr">
        <is>
          <t>Széles kínálatunkban könnyedén megtalálhatja az igényeinek megfelelő kialakítással rendelkező biztosítékokat! 
Az F100 MA típusú biztosíték a következő tulajdonsággal rendelkezik: 5 x 20 mm gyors. Válassza a minőségi termékeket és rendeljen webáruházunkból.</t>
        </is>
      </c>
    </row>
    <row r="1643">
      <c r="A1643" s="3" t="inlineStr">
        <is>
          <t>F1 A</t>
        </is>
      </c>
      <c r="B1643" s="2" t="inlineStr">
        <is>
          <t>Home F1 A biztosítékbetét, 5x20 mm, gyors, 1 A</t>
        </is>
      </c>
      <c r="C1643" s="1" t="n">
        <v>59.0</v>
      </c>
      <c r="D1643" s="7" t="n">
        <f>HYPERLINK("https://www.somogyi.hu/product/home-f1-a-biztositekbetet-5x20-mm-gyors-1-a-f1-a-1734","https://www.somogyi.hu/product/home-f1-a-biztositekbetet-5x20-mm-gyors-1-a-f1-a-1734")</f>
        <v>0.0</v>
      </c>
      <c r="E1643" s="7" t="n">
        <f>HYPERLINK("https://www.somogyi.hu/data/img/product_main_images/small/01734.jpg","https://www.somogyi.hu/data/img/product_main_images/small/01734.jpg")</f>
        <v>0.0</v>
      </c>
      <c r="F1643" s="2" t="inlineStr">
        <is>
          <t>5998312701867</t>
        </is>
      </c>
      <c r="G1643" s="4" t="inlineStr">
        <is>
          <t>Széles kínálatunkban könnyedén megtalálhatja az igényeinek megfelelő kialakítással rendelkező biztosítékokat! 
Az F1 A típusú biztosíték a következő tulajdonsággal rendelkezik: 5 x 20 mm gyors. Válassza a minőségi termékeket és rendeljen webáruházunkból.</t>
        </is>
      </c>
    </row>
    <row r="1644">
      <c r="A1644" s="3" t="inlineStr">
        <is>
          <t>F1,6 A</t>
        </is>
      </c>
      <c r="B1644" s="2" t="inlineStr">
        <is>
          <t>Home F1,6 A biztosítékbetét, 5x20 mm, gyors, 1,6 A</t>
        </is>
      </c>
      <c r="C1644" s="1" t="n">
        <v>59.0</v>
      </c>
      <c r="D1644" s="7" t="n">
        <f>HYPERLINK("https://www.somogyi.hu/product/home-f1-6-a-biztositekbetet-5x20-mm-gyors-1-6-a-f1-6-a-1736","https://www.somogyi.hu/product/home-f1-6-a-biztositekbetet-5x20-mm-gyors-1-6-a-f1-6-a-1736")</f>
        <v>0.0</v>
      </c>
      <c r="E1644" s="7" t="n">
        <f>HYPERLINK("https://www.somogyi.hu/data/img/product_main_images/small/01736.jpg","https://www.somogyi.hu/data/img/product_main_images/small/01736.jpg")</f>
        <v>0.0</v>
      </c>
      <c r="F1644" s="2" t="inlineStr">
        <is>
          <t>5998312701881</t>
        </is>
      </c>
      <c r="G1644" s="4" t="inlineStr">
        <is>
          <t>Széles kínálatunkban könnyedén megtalálhatja az igényeinek megfelelő kialakítással rendelkező biztosítékokat! 
Az F1,6 A típusú biztosíték a következő tulajdonsággal rendelkezik: 5 x 20 mm gyors. Válassza a minőségi termékeket és rendeljen webáruházunkból.</t>
        </is>
      </c>
    </row>
    <row r="1645">
      <c r="A1645" s="3" t="inlineStr">
        <is>
          <t>F10 A</t>
        </is>
      </c>
      <c r="B1645" s="2" t="inlineStr">
        <is>
          <t>Home F10 A biztosítékbetét, 5x20 mm, gyors, 10 A</t>
        </is>
      </c>
      <c r="C1645" s="1" t="n">
        <v>59.0</v>
      </c>
      <c r="D1645" s="7" t="n">
        <f>HYPERLINK("https://www.somogyi.hu/product/home-f10-a-biztositekbetet-5x20-mm-gyors-10-a-f10-a-1737","https://www.somogyi.hu/product/home-f10-a-biztositekbetet-5x20-mm-gyors-10-a-f10-a-1737")</f>
        <v>0.0</v>
      </c>
      <c r="E1645" s="7" t="n">
        <f>HYPERLINK("https://www.somogyi.hu/data/img/product_main_images/small/01737.jpg","https://www.somogyi.hu/data/img/product_main_images/small/01737.jpg")</f>
        <v>0.0</v>
      </c>
      <c r="F1645" s="2" t="inlineStr">
        <is>
          <t>5998312701898</t>
        </is>
      </c>
      <c r="G1645" s="4" t="inlineStr">
        <is>
          <t>Széles kínálatunkban könnyedén megtalálhatja az igényeinek megfelelő kialakítással rendelkező biztosítékokat! 
Az F10 A típusú biztosíték a következő tulajdonsággal rendelkezik: 5 x 20 mm gyors. Válassza a minőségi termékeket és rendeljen webáruházunkból.</t>
        </is>
      </c>
    </row>
    <row r="1646">
      <c r="A1646" s="3" t="inlineStr">
        <is>
          <t>F2 A</t>
        </is>
      </c>
      <c r="B1646" s="2" t="inlineStr">
        <is>
          <t>Home F2 A biztosítékbetét, 5x20 mm, gyors, 2 A</t>
        </is>
      </c>
      <c r="C1646" s="1" t="n">
        <v>59.0</v>
      </c>
      <c r="D1646" s="7" t="n">
        <f>HYPERLINK("https://www.somogyi.hu/product/home-f2-a-biztositekbetet-5x20-mm-gyors-2-a-f2-a-1743","https://www.somogyi.hu/product/home-f2-a-biztositekbetet-5x20-mm-gyors-2-a-f2-a-1743")</f>
        <v>0.0</v>
      </c>
      <c r="E1646" s="7" t="n">
        <f>HYPERLINK("https://www.somogyi.hu/data/img/product_main_images/small/01743.jpg","https://www.somogyi.hu/data/img/product_main_images/small/01743.jpg")</f>
        <v>0.0</v>
      </c>
      <c r="F1646" s="2" t="inlineStr">
        <is>
          <t>5998312701959</t>
        </is>
      </c>
      <c r="G1646" s="4" t="inlineStr">
        <is>
          <t>Széles kínálatunkban könnyedén megtalálhatja az igényeinek megfelelő kialakítással rendelkező biztosítékokat! 
Az F2 A típusú biztosíték a következő tulajdonsággal rendelkezik: 5 x 20 mm gyors. Válassza a minőségi termékeket és rendeljen webáruházunkból.</t>
        </is>
      </c>
    </row>
    <row r="1647">
      <c r="A1647" s="3" t="inlineStr">
        <is>
          <t>F2,5 A</t>
        </is>
      </c>
      <c r="B1647" s="2" t="inlineStr">
        <is>
          <t>Home F2,5 A biztosítékbetét, 5x20 mm, gyors, 2,5 A</t>
        </is>
      </c>
      <c r="C1647" s="1" t="n">
        <v>59.0</v>
      </c>
      <c r="D1647" s="7" t="n">
        <f>HYPERLINK("https://www.somogyi.hu/product/home-f2-5-a-biztositekbetet-5x20-mm-gyors-2-5-a-f2-5-a-1744","https://www.somogyi.hu/product/home-f2-5-a-biztositekbetet-5x20-mm-gyors-2-5-a-f2-5-a-1744")</f>
        <v>0.0</v>
      </c>
      <c r="E1647" s="7" t="n">
        <f>HYPERLINK("https://www.somogyi.hu/data/img/product_main_images/small/01744.jpg","https://www.somogyi.hu/data/img/product_main_images/small/01744.jpg")</f>
        <v>0.0</v>
      </c>
      <c r="F1647" s="2" t="inlineStr">
        <is>
          <t>5998312701966</t>
        </is>
      </c>
      <c r="G1647" s="4" t="inlineStr">
        <is>
          <t>Széles kínálatunkban könnyedén megtalálhatja az igényeinek megfelelő kialakítással rendelkező biztosítékokat! 
Az F2,5 A típusú biztosíték a következő tulajdonsággal rendelkezik: 5 x 20 mm gyors. Válassza a minőségi termékeket és rendeljen webáruházunkból.</t>
        </is>
      </c>
    </row>
    <row r="1648">
      <c r="A1648" s="3" t="inlineStr">
        <is>
          <t>F3,15 A</t>
        </is>
      </c>
      <c r="B1648" s="2" t="inlineStr">
        <is>
          <t>Home F3,15 A biztosítékbetét, 5x20 mm, gyors, 3,15 A</t>
        </is>
      </c>
      <c r="C1648" s="1" t="n">
        <v>59.0</v>
      </c>
      <c r="D1648" s="7" t="n">
        <f>HYPERLINK("https://www.somogyi.hu/product/home-f3-15-a-biztositekbetet-5x20-mm-gyors-3-15-a-f3-15-a-1747","https://www.somogyi.hu/product/home-f3-15-a-biztositekbetet-5x20-mm-gyors-3-15-a-f3-15-a-1747")</f>
        <v>0.0</v>
      </c>
      <c r="E1648" s="7" t="n">
        <f>HYPERLINK("https://www.somogyi.hu/data/img/product_main_images/small/01747.jpg","https://www.somogyi.hu/data/img/product_main_images/small/01747.jpg")</f>
        <v>0.0</v>
      </c>
      <c r="F1648" s="2" t="inlineStr">
        <is>
          <t>5998312701997</t>
        </is>
      </c>
      <c r="G1648" s="4" t="inlineStr">
        <is>
          <t>Széles kínálatunkban könnyedén megtalálhatja az igényeinek megfelelő kialakítással rendelkező biztosítékokat! 
Az F3,15 A típusú biztosíték a következő tulajdonsággal rendelkezik: 5 x 20 mm gyors. Válassza a minőségi termékeket és rendeljen webáruházunkból.</t>
        </is>
      </c>
    </row>
    <row r="1649">
      <c r="A1649" s="3" t="inlineStr">
        <is>
          <t>F5 A</t>
        </is>
      </c>
      <c r="B1649" s="2" t="inlineStr">
        <is>
          <t>Home F5 A biztosítékbetét, 5x20 mm, gyors, 5 A</t>
        </is>
      </c>
      <c r="C1649" s="1" t="n">
        <v>59.0</v>
      </c>
      <c r="D1649" s="7" t="n">
        <f>HYPERLINK("https://www.somogyi.hu/product/home-f5-a-biztositekbetet-5x20-mm-gyors-5-a-f5-a-1751","https://www.somogyi.hu/product/home-f5-a-biztositekbetet-5x20-mm-gyors-5-a-f5-a-1751")</f>
        <v>0.0</v>
      </c>
      <c r="E1649" s="7" t="n">
        <f>HYPERLINK("https://www.somogyi.hu/data/img/product_main_images/small/01751.jpg","https://www.somogyi.hu/data/img/product_main_images/small/01751.jpg")</f>
        <v>0.0</v>
      </c>
      <c r="F1649" s="2" t="inlineStr">
        <is>
          <t>5998312702031</t>
        </is>
      </c>
      <c r="G1649" s="4" t="inlineStr">
        <is>
          <t>Széles kínálatunkban könnyedén megtalálhatja az igényeinek megfelelő kialakítással rendelkező biztosítékokat! 
Az F5 A típusú biztosíték a következő tulajdonsággal rendelkezik: 5 x 20 mm gyors. Válassza a minőségi termékeket és rendeljen webáruházunkból.</t>
        </is>
      </c>
    </row>
    <row r="1650">
      <c r="A1650" s="3" t="inlineStr">
        <is>
          <t>T500 MA</t>
        </is>
      </c>
      <c r="B1650" s="2" t="inlineStr">
        <is>
          <t>Home T500 MA biztosítékbetét, 5x20 mm, lomha, 500 mA</t>
        </is>
      </c>
      <c r="C1650" s="1" t="n">
        <v>89.0</v>
      </c>
      <c r="D1650" s="7" t="n">
        <f>HYPERLINK("https://www.somogyi.hu/product/home-t500-ma-biztositekbetet-5x20-mm-lomha-500-ma-t500-ma-2016","https://www.somogyi.hu/product/home-t500-ma-biztositekbetet-5x20-mm-lomha-500-ma-t500-ma-2016")</f>
        <v>0.0</v>
      </c>
      <c r="E1650" s="7" t="n">
        <f>HYPERLINK("https://www.somogyi.hu/data/img/product_main_images/small/02016.jpg","https://www.somogyi.hu/data/img/product_main_images/small/02016.jpg")</f>
        <v>0.0</v>
      </c>
      <c r="F1650" s="2" t="inlineStr">
        <is>
          <t>5998312718223</t>
        </is>
      </c>
      <c r="G1650" s="4" t="inlineStr">
        <is>
          <t>Széles kínálatunkban könnyedén megtalálhatja az igényeinek megfelelő kialakítással rendelkező biztosítékokat! 
A T500 MA típusú biztosíték a következő tulajdonsággal rendelkezik: 5 x 20 mm lomha. Válassza a minőségi termékeket és rendeljen webáruházunkból.</t>
        </is>
      </c>
    </row>
    <row r="1651">
      <c r="A1651" s="3" t="inlineStr">
        <is>
          <t>T3,15 A</t>
        </is>
      </c>
      <c r="B1651" s="2" t="inlineStr">
        <is>
          <t>Home T3,15 A biztosítékbetét, 5x20 mm, lomha, 3,15 A</t>
        </is>
      </c>
      <c r="C1651" s="1" t="n">
        <v>89.0</v>
      </c>
      <c r="D1651" s="7" t="n">
        <f>HYPERLINK("https://www.somogyi.hu/product/home-t3-15-a-biztositekbetet-5x20-mm-lomha-3-15-a-t3-15-a-1913","https://www.somogyi.hu/product/home-t3-15-a-biztositekbetet-5x20-mm-lomha-3-15-a-t3-15-a-1913")</f>
        <v>0.0</v>
      </c>
      <c r="E1651" s="7" t="n">
        <f>HYPERLINK("https://www.somogyi.hu/data/img/product_main_images/small/01913.jpg","https://www.somogyi.hu/data/img/product_main_images/small/01913.jpg")</f>
        <v>0.0</v>
      </c>
      <c r="F1651" s="2" t="inlineStr">
        <is>
          <t>5998312704776</t>
        </is>
      </c>
      <c r="G1651" s="4" t="inlineStr">
        <is>
          <t>Széles kínálatunkban könnyedén megtalálhatja az igényeinek megfelelő kialakítással rendelkező biztosítékokat! 
A T3,15 A típusú biztosíték a következő tulajdonsággal rendelkezik: 5 x 20 mm lomha. Válassza a minőségi termékeket és rendeljen webáruházunkból.</t>
        </is>
      </c>
    </row>
    <row r="1652">
      <c r="A1652" s="3" t="inlineStr">
        <is>
          <t>F500 MA</t>
        </is>
      </c>
      <c r="B1652" s="2" t="inlineStr">
        <is>
          <t>Home F500 MA biztosítékbetét, 5x20 mm, gyors, 500 mA</t>
        </is>
      </c>
      <c r="C1652" s="1" t="n">
        <v>59.0</v>
      </c>
      <c r="D1652" s="7" t="n">
        <f>HYPERLINK("https://www.somogyi.hu/product/home-f500-ma-biztositekbetet-5x20-mm-gyors-500-ma-f500-ma-1752","https://www.somogyi.hu/product/home-f500-ma-biztositekbetet-5x20-mm-gyors-500-ma-f500-ma-1752")</f>
        <v>0.0</v>
      </c>
      <c r="E1652" s="7" t="n">
        <f>HYPERLINK("https://www.somogyi.hu/data/img/product_main_images/small/01752.jpg","https://www.somogyi.hu/data/img/product_main_images/small/01752.jpg")</f>
        <v>0.0</v>
      </c>
      <c r="F1652" s="2" t="inlineStr">
        <is>
          <t>5998312702048</t>
        </is>
      </c>
      <c r="G1652" s="4" t="inlineStr">
        <is>
          <t>Széles kínálatunkban könnyedén megtalálhatja az igényeinek megfelelő kialakítással rendelkező biztosítékokat! 
Az F500 MA típusú biztosíték a következő tulajdonsággal rendelkezik: 5 x 20 mm gyors. Válassza a minőségi termékeket és rendeljen webáruházunkból.</t>
        </is>
      </c>
    </row>
    <row r="1653">
      <c r="A1653" s="3" t="inlineStr">
        <is>
          <t>T4 A</t>
        </is>
      </c>
      <c r="B1653" s="2" t="inlineStr">
        <is>
          <t>Home T4 A biztosítékbetét, 5x20 mm, lomha, 4 A</t>
        </is>
      </c>
      <c r="C1653" s="1" t="n">
        <v>89.0</v>
      </c>
      <c r="D1653" s="7" t="n">
        <f>HYPERLINK("https://www.somogyi.hu/product/home-t4-a-biztositekbetet-5x20-mm-lomha-4-a-t4-a-1914","https://www.somogyi.hu/product/home-t4-a-biztositekbetet-5x20-mm-lomha-4-a-t4-a-1914")</f>
        <v>0.0</v>
      </c>
      <c r="E1653" s="7" t="n">
        <f>HYPERLINK("https://www.somogyi.hu/data/img/product_main_images/small/01914.jpg","https://www.somogyi.hu/data/img/product_main_images/small/01914.jpg")</f>
        <v>0.0</v>
      </c>
      <c r="F1653" s="2" t="inlineStr">
        <is>
          <t>5998312704783</t>
        </is>
      </c>
      <c r="G1653" s="4" t="inlineStr">
        <is>
          <t>Széles kínálatunkban könnyedén megtalálhatja az igényeinek megfelelő kialakítással rendelkező biztosítékokat! 
A T4 A típusú biztosíték a következő tulajdonsággal rendelkezik: 5 x 20 mm lomha. Válassza a minőségi termékeket és rendeljen webáruházunkból.</t>
        </is>
      </c>
    </row>
    <row r="1654">
      <c r="A1654" s="3" t="inlineStr">
        <is>
          <t>T1 A</t>
        </is>
      </c>
      <c r="B1654" s="2" t="inlineStr">
        <is>
          <t>Home T1 A biztosítékbetét, 5x20 mm, lomha, 1 A</t>
        </is>
      </c>
      <c r="C1654" s="1" t="n">
        <v>89.0</v>
      </c>
      <c r="D1654" s="7" t="n">
        <f>HYPERLINK("https://www.somogyi.hu/product/home-t1-a-biztositekbetet-5x20-mm-lomha-1-a-t1-a-1908","https://www.somogyi.hu/product/home-t1-a-biztositekbetet-5x20-mm-lomha-1-a-t1-a-1908")</f>
        <v>0.0</v>
      </c>
      <c r="E1654" s="7" t="n">
        <f>HYPERLINK("https://www.somogyi.hu/data/img/product_main_images/small/01908.jpg","https://www.somogyi.hu/data/img/product_main_images/small/01908.jpg")</f>
        <v>0.0</v>
      </c>
      <c r="F1654" s="2" t="inlineStr">
        <is>
          <t>5998312704714</t>
        </is>
      </c>
      <c r="G1654" s="4" t="inlineStr">
        <is>
          <t>Széles kínálatunkban könnyedén megtalálhatja az igényeinek megfelelő kialakítással rendelkező biztosítékokat! 
Az T1 A típusú biztosíték a következő tulajdonsággal rendelkezik: 5 x 20 mm lomha. Válassza a minőségi termékeket és rendeljen webáruházunkból.</t>
        </is>
      </c>
    </row>
    <row r="1655">
      <c r="A1655" s="3" t="inlineStr">
        <is>
          <t>F16 A</t>
        </is>
      </c>
      <c r="B1655" s="2" t="inlineStr">
        <is>
          <t>Home F16 A biztosítékbetét, 5x20 mm, gyors, 16 A</t>
        </is>
      </c>
      <c r="C1655" s="1" t="n">
        <v>59.0</v>
      </c>
      <c r="D1655" s="7" t="n">
        <f>HYPERLINK("https://www.somogyi.hu/product/home-f16-a-biztositekbetet-5x20-mm-gyors-16-a-f16-a-1741","https://www.somogyi.hu/product/home-f16-a-biztositekbetet-5x20-mm-gyors-16-a-f16-a-1741")</f>
        <v>0.0</v>
      </c>
      <c r="E1655" s="7" t="n">
        <f>HYPERLINK("https://www.somogyi.hu/data/img/product_main_images/small/01741.jpg","https://www.somogyi.hu/data/img/product_main_images/small/01741.jpg")</f>
        <v>0.0</v>
      </c>
      <c r="F1655" s="2" t="inlineStr">
        <is>
          <t>5998312701935</t>
        </is>
      </c>
      <c r="G1655" s="4" t="inlineStr">
        <is>
          <t>Széles kínálatunkban könnyedén megtalálhatja az igényeinek megfelelő kialakítással rendelkező biztosítékokat! 
Az F16 A típusú biztosíték a következő tulajdonsággal rendelkezik: 5 x 20 mm gyors. Válassza a minőségi termékeket és rendeljen webáruházunkból.</t>
        </is>
      </c>
    </row>
    <row r="1656">
      <c r="A1656" s="6" t="inlineStr">
        <is>
          <t xml:space="preserve">   Audio-video kiegészítők / Kapcsoló, nyomógomb</t>
        </is>
      </c>
      <c r="B1656" s="6" t="inlineStr">
        <is>
          <t/>
        </is>
      </c>
      <c r="C1656" s="6" t="inlineStr">
        <is>
          <t/>
        </is>
      </c>
      <c r="D1656" s="6" t="inlineStr">
        <is>
          <t/>
        </is>
      </c>
      <c r="E1656" s="6" t="inlineStr">
        <is>
          <t/>
        </is>
      </c>
      <c r="F1656" s="6" t="inlineStr">
        <is>
          <t/>
        </is>
      </c>
      <c r="G1656" s="6" t="inlineStr">
        <is>
          <t/>
        </is>
      </c>
    </row>
    <row r="1657">
      <c r="A1657" s="3" t="inlineStr">
        <is>
          <t>STV 03</t>
        </is>
      </c>
      <c r="B1657" s="2" t="inlineStr">
        <is>
          <t>Home STV 03 világítós billenőkapcsoló, 1 áramkör - 2 állás, 250 V, 10 A, piros</t>
        </is>
      </c>
      <c r="C1657" s="1" t="n">
        <v>1050.0</v>
      </c>
      <c r="D1657" s="7" t="n">
        <f>HYPERLINK("https://www.somogyi.hu/product/home-stv-03-vilagitos-billenokapcsolo-1-aramkor-2-allas-250-v-10-a-piros-stv-03-1898","https://www.somogyi.hu/product/home-stv-03-vilagitos-billenokapcsolo-1-aramkor-2-allas-250-v-10-a-piros-stv-03-1898")</f>
        <v>0.0</v>
      </c>
      <c r="E1657" s="7" t="n">
        <f>HYPERLINK("https://www.somogyi.hu/data/img/product_main_images/small/01898.jpg","https://www.somogyi.hu/data/img/product_main_images/small/01898.jpg")</f>
        <v>0.0</v>
      </c>
      <c r="F1657" s="2" t="inlineStr">
        <is>
          <t>5998312704523</t>
        </is>
      </c>
      <c r="G1657" s="4" t="inlineStr">
        <is>
          <t>Megbízható beépíthető kapcsolót keres? Ez esetben a legjobb helyen jár! Széles kínálatunkban garantáltan megtalálhatja az igényeinek megfelelőt!
Az STV 03 világítós billenőkapcsoló 2 állású és 1 áramkör működtetésére alkalmas. A kapcsoló Glimm típusú fényforrással rendelkezik. Max. terhelhetősége: 250 V~ / 10 A. Mérete: 34 x 14 mm. Beépítési mérete/nyílása: 31 x 11 mm. Beépítési mélysége saruval: 26,6 mm. Saruk száma: 3. Válassza a minőségi termékeket és rendeljen webáruházunkból.</t>
        </is>
      </c>
    </row>
    <row r="1658">
      <c r="A1658" s="3" t="inlineStr">
        <is>
          <t>AKV 02</t>
        </is>
      </c>
      <c r="B1658" s="2" t="inlineStr">
        <is>
          <t>Home AKV 02 világítós billenőkapcsoló, 1 áramkör - 2 állás, 12 V, zöld, szögletes</t>
        </is>
      </c>
      <c r="C1658" s="1" t="n">
        <v>529.0</v>
      </c>
      <c r="D1658" s="7" t="n">
        <f>HYPERLINK("https://www.somogyi.hu/product/home-akv-02-vilagitos-billenokapcsolo-1-aramkor-2-allas-12-v-zold-szogletes-akv-02-4261","https://www.somogyi.hu/product/home-akv-02-vilagitos-billenokapcsolo-1-aramkor-2-allas-12-v-zold-szogletes-akv-02-4261")</f>
        <v>0.0</v>
      </c>
      <c r="E1658" s="7" t="n">
        <f>HYPERLINK("https://www.somogyi.hu/data/img/product_main_images/small/04261.jpg","https://www.somogyi.hu/data/img/product_main_images/small/04261.jpg")</f>
        <v>0.0</v>
      </c>
      <c r="F1658" s="2" t="inlineStr">
        <is>
          <t>5998312708866</t>
        </is>
      </c>
      <c r="G1658" s="4" t="inlineStr">
        <is>
          <t>Megbízható beépíthető kapcsolót keres? Ez esetben a legjobb helyen jár! Széles kínálatunkban garantáltan megtalálhatja az igényeinek megfelelőt!
Az AKV 02 világítós billenőkapcsoló 2 állású és 1 áramkör működtetésére alkalmas. Max. terhelhetősége: 12 V / 15 A. Mérete: 21 x 15 mm. Beépítési mérete/nyílása: 19 x 13 mm. Beépítési mélysége saruval: 22,8 mm. Saruk száma: 3. A fényforrás tápellátása: 12 V. Válassza a minőségi termékeket és rendeljen webáruházunkból.</t>
        </is>
      </c>
    </row>
    <row r="1659">
      <c r="A1659" s="3" t="inlineStr">
        <is>
          <t>MSW 01</t>
        </is>
      </c>
      <c r="B1659" s="2" t="inlineStr">
        <is>
          <t>Home MSW 01 mikrokapcsoló, 1 áramkör, 10 A</t>
        </is>
      </c>
      <c r="C1659" s="1" t="n">
        <v>679.0</v>
      </c>
      <c r="D1659" s="7" t="n">
        <f>HYPERLINK("https://www.somogyi.hu/product/home-msw-01-mikrokapcsolo-1-aramkor-10-a-msw-01-4777","https://www.somogyi.hu/product/home-msw-01-mikrokapcsolo-1-aramkor-10-a-msw-01-4777")</f>
        <v>0.0</v>
      </c>
      <c r="E1659" s="7" t="n">
        <f>HYPERLINK("https://www.somogyi.hu/data/img/product_main_images/small/04777.jpg","https://www.somogyi.hu/data/img/product_main_images/small/04777.jpg")</f>
        <v>0.0</v>
      </c>
      <c r="F1659" s="2" t="inlineStr">
        <is>
          <t>5998312742204</t>
        </is>
      </c>
      <c r="G1659" s="4" t="inlineStr">
        <is>
          <t>Megbízható beépíthető kapcsolót keres? Ez esetben a legjobb helyen jár! Széles kínálatunkban garantáltan megtalálhatja az igényeinek megfelelőt!
Az MSW 01 mikrókapcsoló.  Max. terhelhetősége: 250 V~ / 10 A. Mérete: 29 x 16 x 10 mm. Beépítési mérete/nyílása: 29 x 16 x 10,3 mm.  Saruk száma: 3. Válassza a minőségi termékeket és rendeljen webáruházunkból.</t>
        </is>
      </c>
    </row>
    <row r="1660">
      <c r="A1660" s="3" t="inlineStr">
        <is>
          <t>SP 10/RD</t>
        </is>
      </c>
      <c r="B1660" s="2" t="inlineStr">
        <is>
          <t>Home SP 10/RD nyomógomb, 1 áramkör, záró, 125 V, 3 A, piros</t>
        </is>
      </c>
      <c r="C1660" s="1" t="n">
        <v>609.0</v>
      </c>
      <c r="D1660" s="7" t="n">
        <f>HYPERLINK("https://www.somogyi.hu/product/home-sp-10-rd-nyomogomb-1-aramkor-zaro-125-v-3-a-piros-sp-10-rd-2126","https://www.somogyi.hu/product/home-sp-10-rd-nyomogomb-1-aramkor-zaro-125-v-3-a-piros-sp-10-rd-2126")</f>
        <v>0.0</v>
      </c>
      <c r="E1660" s="7" t="n">
        <f>HYPERLINK("https://www.somogyi.hu/data/img/product_main_images/small/02126.jpg","https://www.somogyi.hu/data/img/product_main_images/small/02126.jpg")</f>
        <v>0.0</v>
      </c>
      <c r="F1660" s="2" t="inlineStr">
        <is>
          <t>5998312723715</t>
        </is>
      </c>
      <c r="G1660" s="4" t="inlineStr">
        <is>
          <t>Megbízható beépíthető kapcsolót keres? Ez esetben a legjobb helyen jár! Széles kínálatunkban garantáltan megtalálhatja az igényeinek megfelelőt!
Az SP 10/RD piros színű záró nyomógomb 1 áramkör működtetésére alkalmas. Max. terhelhetősége: 125 V~ / 3 A. Mérete: ø19 mm. Beépítési mérete/nyílása: ø12 mm. Beépítési mélysége saruval: 28,5 mm. Saruk száma: 2. Válassza a minőségi termékeket és rendeljen webáruházunkból.</t>
        </is>
      </c>
    </row>
    <row r="1661">
      <c r="A1661" s="3" t="inlineStr">
        <is>
          <t>ST 21</t>
        </is>
      </c>
      <c r="B1661" s="2" t="inlineStr">
        <is>
          <t>Home ST 21 billenőkapcsoló, 1 áramkör - 2 állás, 250 V, 6 A, fekete</t>
        </is>
      </c>
      <c r="C1661" s="1" t="n">
        <v>1250.0</v>
      </c>
      <c r="D1661" s="7" t="n">
        <f>HYPERLINK("https://www.somogyi.hu/product/home-st-21-billenokapcsolo-1-aramkor-2-allas-250-v-6-a-fekete-st-21-2798","https://www.somogyi.hu/product/home-st-21-billenokapcsolo-1-aramkor-2-allas-250-v-6-a-fekete-st-21-2798")</f>
        <v>0.0</v>
      </c>
      <c r="E1661" s="7" t="n">
        <f>HYPERLINK("https://www.somogyi.hu/data/img/product_main_images/small/02798.jpg","https://www.somogyi.hu/data/img/product_main_images/small/02798.jpg")</f>
        <v>0.0</v>
      </c>
      <c r="F1661" s="2" t="inlineStr">
        <is>
          <t>5998312731222</t>
        </is>
      </c>
      <c r="G1661" s="4" t="inlineStr">
        <is>
          <t>Megbízható beépíthető kapcsolót keres? Ez esetben a legjobb helyen jár! Széles kínálatunkban garantáltan megtalálhatja az igényeinek megfelelőt!
Az ST 21 billenőkapcsoló 2 állású és 1 áramkör működtetésére alkalmas.  Max. terhelhetősége: 250 V~ / 6 A. Mérete: 29 x 16 mm. Beépítési mérete/nyílása: ø11,5 mm. Beépítési mélysége saruval: 28,2 mm. Saruk száma: 3. Válassza a minőségi termékeket és rendeljen webáruházunkból.</t>
        </is>
      </c>
    </row>
    <row r="1662">
      <c r="A1662" s="3" t="inlineStr">
        <is>
          <t>ST 305</t>
        </is>
      </c>
      <c r="B1662" s="2" t="inlineStr">
        <is>
          <t>Home ST 305 billenőkapcsoló, 2 áramkör - 3 állás, 250 V, 3 A, kék</t>
        </is>
      </c>
      <c r="C1662" s="1" t="n">
        <v>399.0</v>
      </c>
      <c r="D1662" s="7" t="n">
        <f>HYPERLINK("https://www.somogyi.hu/product/home-st-305-billenokapcsolo-2-aramkor-3-allas-250-v-3-a-kek-st-305-1893","https://www.somogyi.hu/product/home-st-305-billenokapcsolo-2-aramkor-3-allas-250-v-3-a-kek-st-305-1893")</f>
        <v>0.0</v>
      </c>
      <c r="E1662" s="7" t="n">
        <f>HYPERLINK("https://www.somogyi.hu/data/img/product_main_images/small/01893.jpg","https://www.somogyi.hu/data/img/product_main_images/small/01893.jpg")</f>
        <v>0.0</v>
      </c>
      <c r="F1662" s="2" t="inlineStr">
        <is>
          <t>5998312704448</t>
        </is>
      </c>
      <c r="G1662" s="4" t="inlineStr">
        <is>
          <t>Megbízható beépíthető kapcsolót keres? Ez esetben a legjobb helyen jár! Széles kínálatunkban garantáltan megtalálhatja az igényeinek megfelelőt!
Az ST 305 billenőkapcsoló 3 állású és 2 áramkör működtetésére alkalmas. Max. terhelhetősége: 250 V~ / 3 A. Mérete: 13 x 13 mm. Beépítési mérete/nyílása: ø6 mm. Beépítési mélysége saruval: 15 mm. Saruk száma: 6. Válassza a minőségi termékeket és rendeljen webáruházunkból.</t>
        </is>
      </c>
    </row>
    <row r="1663">
      <c r="A1663" s="3" t="inlineStr">
        <is>
          <t>STV 04</t>
        </is>
      </c>
      <c r="B1663" s="2" t="inlineStr">
        <is>
          <t>Home STV 04 világítós billenőkapcsoló, 1 áramkör - 2 állás, 250 V, 10 A, zöld</t>
        </is>
      </c>
      <c r="C1663" s="1" t="n">
        <v>1250.0</v>
      </c>
      <c r="D1663" s="7" t="n">
        <f>HYPERLINK("https://www.somogyi.hu/product/home-stv-04-vilagitos-billenokapcsolo-1-aramkor-2-allas-250-v-10-a-zold-stv-04-2047","https://www.somogyi.hu/product/home-stv-04-vilagitos-billenokapcsolo-1-aramkor-2-allas-250-v-10-a-zold-stv-04-2047")</f>
        <v>0.0</v>
      </c>
      <c r="E1663" s="7" t="n">
        <f>HYPERLINK("https://www.somogyi.hu/data/img/product_main_images/small/02047.jpg","https://www.somogyi.hu/data/img/product_main_images/small/02047.jpg")</f>
        <v>0.0</v>
      </c>
      <c r="F1663" s="2" t="inlineStr">
        <is>
          <t>5998312722480</t>
        </is>
      </c>
      <c r="G1663" s="4" t="inlineStr">
        <is>
          <t>Megbízható beépíthető kapcsolót keres? Ez esetben a legjobb helyen jár! Széles kínálatunkban garantáltan megtalálhatja az igényeinek megfelelőt!
Az STV 04 világítós billenőkapcsoló 2 állású és 1 áramkör működtetésére alkalmas. A kapcsoló Glimm típusú fényforrással rendelkezik. Max. terhelhetősége: 250 V~ / 10 A. Mérete: 34 x 14 mm. Beépítési mérete/nyílása: 31 x 11 mm. Beépítési mélysége saruval: 26,6 mm. Saruk száma: 3. Válassza a minőségi termékeket és rendeljen webáruházunkból.</t>
        </is>
      </c>
    </row>
    <row r="1664">
      <c r="A1664" s="3" t="inlineStr">
        <is>
          <t>STV 08</t>
        </is>
      </c>
      <c r="B1664" s="2" t="inlineStr">
        <is>
          <t>Home STV 08 világítós billenőkapcsoló, 1 áramkör - 2 állás, 250 V, 6 A, zöld</t>
        </is>
      </c>
      <c r="C1664" s="1" t="n">
        <v>889.0</v>
      </c>
      <c r="D1664" s="7" t="n">
        <f>HYPERLINK("https://www.somogyi.hu/product/home-stv-08-vilagitos-billenokapcsolo-1-aramkor-2-allas-250-v-6-a-zold-stv-08-2642","https://www.somogyi.hu/product/home-stv-08-vilagitos-billenokapcsolo-1-aramkor-2-allas-250-v-6-a-zold-stv-08-2642")</f>
        <v>0.0</v>
      </c>
      <c r="E1664" s="7" t="n">
        <f>HYPERLINK("https://www.somogyi.hu/data/img/product_main_images/small/02642.jpg","https://www.somogyi.hu/data/img/product_main_images/small/02642.jpg")</f>
        <v>0.0</v>
      </c>
      <c r="F1664" s="2" t="inlineStr">
        <is>
          <t>5998312729601</t>
        </is>
      </c>
      <c r="G1664" s="4" t="inlineStr">
        <is>
          <t>Megbízható beépíthető kapcsolót keres? Ez esetben a legjobb helyen jár! Széles kínálatunkban garantáltan megtalálhatja az igényeinek megfelelőt!
Az STV 08 világítós billenőkapcsoló 2 állású és 1 áramkör működtetésére alkalmas. A kapcsoló glimm típusú fényforrással rendelkezik. Max. terhelhetősége: 250 V~ / 6 A. Mérete: ø23 mm. Beépítési mérete/nyílása: ø21 mm. Beépítési mélysége saruval: 24 mm. Saruk száma: 3. Válassza a minőségi termékeket és rendeljen webáruházunkból.</t>
        </is>
      </c>
    </row>
    <row r="1665">
      <c r="A1665" s="3" t="inlineStr">
        <is>
          <t>AK 11</t>
        </is>
      </c>
      <c r="B1665" s="2" t="inlineStr">
        <is>
          <t>Home AK 11 világítós billenőkapcsoló, 1 áramkör - 2 állás, 14 V, piros</t>
        </is>
      </c>
      <c r="C1665" s="1" t="n">
        <v>839.0</v>
      </c>
      <c r="D1665" s="7" t="n">
        <f>HYPERLINK("https://www.somogyi.hu/product/home-ak-11-vilagitos-billenokapcsolo-1-aramkor-2-allas-14-v-piros-ak-11-3002","https://www.somogyi.hu/product/home-ak-11-vilagitos-billenokapcsolo-1-aramkor-2-allas-14-v-piros-ak-11-3002")</f>
        <v>0.0</v>
      </c>
      <c r="E1665" s="7" t="n">
        <f>HYPERLINK("https://www.somogyi.hu/data/img/product_main_images/small/03002.jpg","https://www.somogyi.hu/data/img/product_main_images/small/03002.jpg")</f>
        <v>0.0</v>
      </c>
      <c r="F1665" s="2" t="inlineStr">
        <is>
          <t>5998312733264</t>
        </is>
      </c>
      <c r="G1665" s="4" t="inlineStr">
        <is>
          <t>Szüksége van egy megbízható, könnyen használható kapcsolóra otthoni vagy ipari felhasználáshoz? A Home AK 11 világítós billenőkapcsoló nemcsak praktikus, de esztétikus megoldást kínál az Ön számára. 
Ez az 1 áramkörös, 2 állású kapcsoló piros világítással rendelkezik, amely 14V feszültséggel működik, így kiváló választás különféle elektromos projektekhez. A kapcsoló kompakt mérete és strapabíró kialakítása biztosítja a hosszú élettartamot, míg az élénk piros fény visszajelzést ad a működési állapotról, ami különösen hasznos sötétebb környezetben vagy bonyolultabb rendszerekben.
Ne hagyja ki ezt a tökéletes megoldást, amely könnyebbé és biztonságosabbá teszi az elektromos rendszerek kezelését! Szerezze be most, és élvezze a kényelmet, amit ez a prémium kapcsoló nyújt!</t>
        </is>
      </c>
    </row>
    <row r="1666">
      <c r="A1666" s="3" t="inlineStr">
        <is>
          <t>STV 11</t>
        </is>
      </c>
      <c r="B1666" s="2" t="inlineStr">
        <is>
          <t>Home STV 11 világítós billenőkapcsoló, 1 áramkör - 2 állás, 250 V, 6 A, piros</t>
        </is>
      </c>
      <c r="C1666" s="1" t="n">
        <v>879.0</v>
      </c>
      <c r="D1666" s="7" t="n">
        <f>HYPERLINK("https://www.somogyi.hu/product/home-stv-11-vilagitos-billenokapcsolo-1-aramkor-2-allas-250-v-6-a-piros-stv-11-2644","https://www.somogyi.hu/product/home-stv-11-vilagitos-billenokapcsolo-1-aramkor-2-allas-250-v-6-a-piros-stv-11-2644")</f>
        <v>0.0</v>
      </c>
      <c r="E1666" s="7" t="n">
        <f>HYPERLINK("https://www.somogyi.hu/data/img/product_main_images/small/02644.jpg","https://www.somogyi.hu/data/img/product_main_images/small/02644.jpg")</f>
        <v>0.0</v>
      </c>
      <c r="F1666" s="2" t="inlineStr">
        <is>
          <t>5998312729625</t>
        </is>
      </c>
      <c r="G1666" s="4" t="inlineStr">
        <is>
          <t>Megbízható beépíthető kapcsolót keres? Ez esetben a legjobb helyen jár! Széles kínálatunkban garantáltan megtalálhatja az igényeinek megfelelőt!
Az STV 11 világítós billenőkapcsoló 2 állású és 1 áramkör működtetésére alkalmas. A kapcsoló glimm típusú fényforrással rendelkezik. Max. terhelhetősége: 250 V~ / 6 A. Mérete: ø23 mm. Beépítési mérete/nyílása: ø21 mm. Beépítési mélysége saruval: 24 mm. Saruk száma: 3. Válassza a minőségi termékeket és rendeljen webáruházunkból.</t>
        </is>
      </c>
    </row>
    <row r="1667">
      <c r="A1667" s="3" t="inlineStr">
        <is>
          <t>AK 12</t>
        </is>
      </c>
      <c r="B1667" s="2" t="inlineStr">
        <is>
          <t>Home AK 12 világítós billenőkapcsoló, 1 áramkör - 2 állás, 14 V, zöld</t>
        </is>
      </c>
      <c r="C1667" s="1" t="n">
        <v>859.0</v>
      </c>
      <c r="D1667" s="7" t="n">
        <f>HYPERLINK("https://www.somogyi.hu/product/home-ak-12-vilagitos-billenokapcsolo-1-aramkor-2-allas-14-v-zold-ak-12-3003","https://www.somogyi.hu/product/home-ak-12-vilagitos-billenokapcsolo-1-aramkor-2-allas-14-v-zold-ak-12-3003")</f>
        <v>0.0</v>
      </c>
      <c r="E1667" s="7" t="n">
        <f>HYPERLINK("https://www.somogyi.hu/data/img/product_main_images/small/03003.jpg","https://www.somogyi.hu/data/img/product_main_images/small/03003.jpg")</f>
        <v>0.0</v>
      </c>
      <c r="F1667" s="2" t="inlineStr">
        <is>
          <t>5998312733271</t>
        </is>
      </c>
      <c r="G1667" s="4" t="inlineStr">
        <is>
          <t>Megbízható beépíthető kapcsolót keres? Ez esetben a legjobb helyen jár! Széles kínálatunkban garantáltan megtalálhatja az igényeinek megfelelőt!
Az AK 12 világítós billenőkapcsoló 2 állású és 1 áramkör működtetésére alkalmas. Max. terhelhetősége: 14 V / 20 A. Mérete: ø23 mm. Beépítési mérete/nyílása: ø20 mm. Beépítési mélysége saruval: 23,5 mm. Saruk száma: 3. A fényforrás tápellátása: 12 V. Válassza a minőségi termékeket és rendeljen webáruházunkból.</t>
        </is>
      </c>
    </row>
    <row r="1668">
      <c r="A1668" s="3" t="inlineStr">
        <is>
          <t>AKV 01</t>
        </is>
      </c>
      <c r="B1668" s="2" t="inlineStr">
        <is>
          <t>Home AKV 01 világítós billenőkapcsoló, 1 áramkör - 2 állás, 12 V, piros, szögletes</t>
        </is>
      </c>
      <c r="C1668" s="1" t="n">
        <v>529.0</v>
      </c>
      <c r="D1668" s="7" t="n">
        <f>HYPERLINK("https://www.somogyi.hu/product/home-akv-01-vilagitos-billenokapcsolo-1-aramkor-2-allas-12-v-piros-szogletes-akv-01-4260","https://www.somogyi.hu/product/home-akv-01-vilagitos-billenokapcsolo-1-aramkor-2-allas-12-v-piros-szogletes-akv-01-4260")</f>
        <v>0.0</v>
      </c>
      <c r="E1668" s="7" t="n">
        <f>HYPERLINK("https://www.somogyi.hu/data/img/product_main_images/small/04260.jpg","https://www.somogyi.hu/data/img/product_main_images/small/04260.jpg")</f>
        <v>0.0</v>
      </c>
      <c r="F1668" s="2" t="inlineStr">
        <is>
          <t>5998312708859</t>
        </is>
      </c>
      <c r="G1668" s="4" t="inlineStr">
        <is>
          <t>Megbízható beépíthető kapcsolót keres? Ez esetben a legjobb helyen jár! Széles kínálatunkban garantáltan megtalálhatja az igényeinek megfelelőt!
Az AKV 01 világítós billenőkapcsoló 2 állású és 1 áramkör működtetésére alkalmas.  Max. terhelhetősége: 12 V / 15 A. Mérete: 21 x 15 mm. Beépítési mérete/nyílása: 19 x 13 mm. Beépítési mélysége saruval: 22.8 mm. Saruk száma: 3. A fényforrás tápellátása: 12 V. Válassza a minőségi termékeket és rendeljen webáruházunkból.</t>
        </is>
      </c>
    </row>
    <row r="1669">
      <c r="A1669" s="3" t="inlineStr">
        <is>
          <t>STV 05</t>
        </is>
      </c>
      <c r="B1669" s="2" t="inlineStr">
        <is>
          <t>Home STV 05 világítós billenőkapcsoló, 2 áramkör - 2 állás, 250 V, 6 A, piros</t>
        </is>
      </c>
      <c r="C1669" s="1" t="n">
        <v>959.0</v>
      </c>
      <c r="D1669" s="7" t="n">
        <f>HYPERLINK("https://www.somogyi.hu/product/home-stv-05-vilagitos-billenokapcsolo-2-aramkor-2-allas-250-v-6-a-piros-stv-05-1899","https://www.somogyi.hu/product/home-stv-05-vilagitos-billenokapcsolo-2-aramkor-2-allas-250-v-6-a-piros-stv-05-1899")</f>
        <v>0.0</v>
      </c>
      <c r="E1669" s="7" t="n">
        <f>HYPERLINK("https://www.somogyi.hu/data/img/product_main_images/small/01899.jpg","https://www.somogyi.hu/data/img/product_main_images/small/01899.jpg")</f>
        <v>0.0</v>
      </c>
      <c r="F1669" s="2" t="inlineStr">
        <is>
          <t>5998312704547</t>
        </is>
      </c>
      <c r="G1669" s="4" t="inlineStr">
        <is>
          <t>Megbízható beépíthető kapcsolót keres? Ez esetben a legjobb helyen jár! Széles kínálatunkban garantáltan megtalálhatja az igényeinek megfelelőt!
Az STV 05 világítós billenőkapcsoló 2 állású és 2 áramkör működtetésére alkalmas. A kapcsoló glimm típusú fényforrással rendelkezik. Max. terhelhetősége: 250 V~ / 6 A. Mérete: 21 x 15 mm. Beépítési mérete/nyílása: 20 x 13 mm. Beépítési mélysége saruval: 22 mm. Saruk száma: 4. Válassza a minőségi termékeket és rendeljen webáruházunkból.</t>
        </is>
      </c>
    </row>
    <row r="1670">
      <c r="A1670" s="3" t="inlineStr">
        <is>
          <t>AK 01</t>
        </is>
      </c>
      <c r="B1670" s="2" t="inlineStr">
        <is>
          <t>Home AK 01 világítós billenőkapcsoló, 1 áramkör - 2 állás, 12 V, piros</t>
        </is>
      </c>
      <c r="C1670" s="1" t="n">
        <v>839.0</v>
      </c>
      <c r="D1670" s="7" t="n">
        <f>HYPERLINK("https://www.somogyi.hu/product/home-ak-01-vilagitos-billenokapcsolo-1-aramkor-2-allas-12-v-piros-ak-01-2791","https://www.somogyi.hu/product/home-ak-01-vilagitos-billenokapcsolo-1-aramkor-2-allas-12-v-piros-ak-01-2791")</f>
        <v>0.0</v>
      </c>
      <c r="E1670" s="7" t="n">
        <f>HYPERLINK("https://www.somogyi.hu/data/img/product_main_images/small/02791.jpg","https://www.somogyi.hu/data/img/product_main_images/small/02791.jpg")</f>
        <v>0.0</v>
      </c>
      <c r="F1670" s="2" t="inlineStr">
        <is>
          <t>5998312731154</t>
        </is>
      </c>
      <c r="G1670" s="4" t="inlineStr">
        <is>
          <t>Egy praktikus és könnyen használható kapcsolót keres autós vagy otthoni projektjeihez? A Home AK 01 világítós billenőkapcsoló ideális választás, ha egyszerű, de megbízható megoldásra van szüksége, legyen szó gépjármű-elektronikáról, barkács projektekről vagy egyéb alkalmazásokról. 
Ez az 1 áramkörös, 2 állású kapcsoló 12V-os rendszerekhez készült, így tökéletesen használható autókban, motorkerékpárokban vagy egyéb 12V feszültségű eszközöknél. A kapcsoló beépített világítása megkönnyíti a használatát sötétben is, így mindig tudni fogja, hogy a kapcsolt áramkör aktív vagy inaktív. Az egyszerű billenő mechanizmus gyors és hatékony váltást tesz lehetővé, a világítás pedig egyértelmű visszajelzést ad az áramkör állapotáról.
Ne bízza a véletlenre az áramkörök vezérlését – válassza a Home AK 01 világítós billenőkapcsolót, és biztosítsa projektjeinek zökkenőmentes és megbízható működését!</t>
        </is>
      </c>
    </row>
    <row r="1671">
      <c r="A1671" s="3" t="inlineStr">
        <is>
          <t>STV 12</t>
        </is>
      </c>
      <c r="B1671" s="2" t="inlineStr">
        <is>
          <t>Home STV 12 világítós billenőkapcsoló, 1 áramkör - 2 állás, 250 V, 6 A, zöld</t>
        </is>
      </c>
      <c r="C1671" s="1" t="n">
        <v>939.0</v>
      </c>
      <c r="D1671" s="7" t="n">
        <f>HYPERLINK("https://www.somogyi.hu/product/home-stv-12-vilagitos-billenokapcsolo-1-aramkor-2-allas-250-v-6-a-zold-stv-12-2645","https://www.somogyi.hu/product/home-stv-12-vilagitos-billenokapcsolo-1-aramkor-2-allas-250-v-6-a-zold-stv-12-2645")</f>
        <v>0.0</v>
      </c>
      <c r="E1671" s="7" t="n">
        <f>HYPERLINK("https://www.somogyi.hu/data/img/product_main_images/small/02645.jpg","https://www.somogyi.hu/data/img/product_main_images/small/02645.jpg")</f>
        <v>0.0</v>
      </c>
      <c r="F1671" s="2" t="inlineStr">
        <is>
          <t>5998312729632</t>
        </is>
      </c>
      <c r="G1671" s="4" t="inlineStr">
        <is>
          <t>Megbízható beépíthető kapcsolót keres? Ez esetben a legjobb helyen jár! Széles kínálatunkban garantáltan megtalálhatja az igényeinek megfelelőt!
Az STV 12 világítós billenőkapcsoló 2 állású és 1 áramkör működtetésére alkalmas. A kapcsoló glimm típusú fényforrással rendelkezik. Max. terhelhetősége: 250 V~ / 6 A. Mérete: ø23 mm. Beépítési mérete/nyílása: ø21 mm. Beépítési mélysége saruval: 24 mm. Saruk száma: 3. Válassza a minőségi termékeket és rendeljen webáruházunkból.</t>
        </is>
      </c>
    </row>
    <row r="1672">
      <c r="A1672" s="3" t="inlineStr">
        <is>
          <t>STV 02</t>
        </is>
      </c>
      <c r="B1672" s="2" t="inlineStr">
        <is>
          <t>Home STV 02 világítós billenőkapcsoló, 2 áramkör - 2 állás, 250 V, 10 A, zöld</t>
        </is>
      </c>
      <c r="C1672" s="1" t="n">
        <v>1350.0</v>
      </c>
      <c r="D1672" s="7" t="n">
        <f>HYPERLINK("https://www.somogyi.hu/product/home-stv-02-vilagitos-billenokapcsolo-2-aramkor-2-allas-250-v-10-a-zold-stv-02-1897","https://www.somogyi.hu/product/home-stv-02-vilagitos-billenokapcsolo-2-aramkor-2-allas-250-v-10-a-zold-stv-02-1897")</f>
        <v>0.0</v>
      </c>
      <c r="E1672" s="7" t="n">
        <f>HYPERLINK("https://www.somogyi.hu/data/img/product_main_images/small/01897.jpg","https://www.somogyi.hu/data/img/product_main_images/small/01897.jpg")</f>
        <v>0.0</v>
      </c>
      <c r="F1672" s="2" t="inlineStr">
        <is>
          <t>5998312704516</t>
        </is>
      </c>
      <c r="G1672" s="4" t="inlineStr">
        <is>
          <t>Megbízható beépíthető kapcsolót keres? Ez esetben a legjobb helyen jár! Széles kínálatunkban garantáltan megtalálhatja az igényeinek megfelelőt!
Az STV 02 világítós billenőkapcsoló 2 állású és 2 áramkör működtetésére alkalmas. A kapcsoló glimm típusú fényforrással rendelkezik. Max. terhelhetősége: 250 V~ / 6 A. Mérete: 32 x 26 mm. Beépítési mérete/nyílása: 31 x 22 mm. Beépítési mélysége saruval: 27 mm. Saruk száma: 4. Válassza a minőségi termékeket és rendeljen webáruházunkból.</t>
        </is>
      </c>
    </row>
    <row r="1673">
      <c r="A1673" s="3" t="inlineStr">
        <is>
          <t>STV 01</t>
        </is>
      </c>
      <c r="B1673" s="2" t="inlineStr">
        <is>
          <t>Home STV 01 világítós billenőkapcsoló, 2 áramkör - 2 állás, 250 V, 10 A, piros</t>
        </is>
      </c>
      <c r="C1673" s="1" t="n">
        <v>1350.0</v>
      </c>
      <c r="D1673" s="7" t="n">
        <f>HYPERLINK("https://www.somogyi.hu/product/home-stv-01-vilagitos-billenokapcsolo-2-aramkor-2-allas-250-v-10-a-piros-stv-01-1896","https://www.somogyi.hu/product/home-stv-01-vilagitos-billenokapcsolo-2-aramkor-2-allas-250-v-10-a-piros-stv-01-1896")</f>
        <v>0.0</v>
      </c>
      <c r="E1673" s="7" t="n">
        <f>HYPERLINK("https://www.somogyi.hu/data/img/product_main_images/small/01896.jpg","https://www.somogyi.hu/data/img/product_main_images/small/01896.jpg")</f>
        <v>0.0</v>
      </c>
      <c r="F1673" s="2" t="inlineStr">
        <is>
          <t>5998312704509</t>
        </is>
      </c>
      <c r="G1673" s="4" t="inlineStr">
        <is>
          <t>Megbízható beépíthető kapcsolót keres? Ez esetben a legjobb helyen jár! Széles kínálatunkban garantáltan megtalálhatja az igényeinek megfelelőt!
Az STV 01 világítós billenőkapcsoló 2 állású és 2 áramkör működtetésére alkalmas. A kapcsoló glimm típusú fényforrással rendelkezik. Max. terhelhetősége: 250 V~ / 10 A. Mérete: 32 x 26 mm. Beépítési mérete/nyílása: 31 x 22 mm. Beépítési mélysége saruval: 27 mm. Saruk száma: 4. Válassza a minőségi termékeket és rendeljen webáruházunkból.</t>
        </is>
      </c>
    </row>
    <row r="1674">
      <c r="A1674" s="3" t="inlineStr">
        <is>
          <t>ST 304</t>
        </is>
      </c>
      <c r="B1674" s="2" t="inlineStr">
        <is>
          <t>Home ST 304 billenőkapcsoló, 2 áramkör - 2 állás, 250 V, 3 A, kék</t>
        </is>
      </c>
      <c r="C1674" s="1" t="n">
        <v>609.0</v>
      </c>
      <c r="D1674" s="7" t="n">
        <f>HYPERLINK("https://www.somogyi.hu/product/home-st-304-billenokapcsolo-2-aramkor-2-allas-250-v-3-a-kek-st-304-1892","https://www.somogyi.hu/product/home-st-304-billenokapcsolo-2-aramkor-2-allas-250-v-3-a-kek-st-304-1892")</f>
        <v>0.0</v>
      </c>
      <c r="E1674" s="7" t="n">
        <f>HYPERLINK("https://www.somogyi.hu/data/img/product_main_images/small/01892.jpg","https://www.somogyi.hu/data/img/product_main_images/small/01892.jpg")</f>
        <v>0.0</v>
      </c>
      <c r="F1674" s="2" t="inlineStr">
        <is>
          <t>5998312704431</t>
        </is>
      </c>
      <c r="G1674" s="4" t="inlineStr">
        <is>
          <t>Megbízható beépíthető kapcsolót keres? Ez esetben a legjobb helyen jár! Széles kínálatunkban garantáltan megtalálhatja az igényeinek megfelelőt!
Az ST 304 billenőkapcsoló 2 állású és 2 áramkör működtetésére alkalmas. Max. terhelhetősége: 250 V~ / 3 A. Mérete: 13 x 13 mm. Beépítési mérete/nyílása: ø6 mm. Beépítési mélysége saruval: 15 mm. Saruk száma: 6. Válassza a minőségi termékeket és rendeljen webáruházunkból.</t>
        </is>
      </c>
    </row>
    <row r="1675">
      <c r="A1675" s="3" t="inlineStr">
        <is>
          <t>SP 02/RD</t>
        </is>
      </c>
      <c r="B1675" s="2" t="inlineStr">
        <is>
          <t>Home SP 02/RD nyomógomb, 1 áramkör, mini záró, piros</t>
        </is>
      </c>
      <c r="C1675" s="1" t="n">
        <v>449.0</v>
      </c>
      <c r="D1675" s="7" t="n">
        <f>HYPERLINK("https://www.somogyi.hu/product/home-sp-02-rd-nyomogomb-1-aramkor-mini-zaro-piros-sp-02-rd-4310","https://www.somogyi.hu/product/home-sp-02-rd-nyomogomb-1-aramkor-mini-zaro-piros-sp-02-rd-4310")</f>
        <v>0.0</v>
      </c>
      <c r="E1675" s="7" t="n">
        <f>HYPERLINK("https://www.somogyi.hu/data/img/product_main_images/small/04310.jpg","https://www.somogyi.hu/data/img/product_main_images/small/04310.jpg")</f>
        <v>0.0</v>
      </c>
      <c r="F1675" s="2" t="inlineStr">
        <is>
          <t>5998312737736</t>
        </is>
      </c>
      <c r="G1675" s="4" t="inlineStr">
        <is>
          <t>Megbízható beépíthető kapcsolót keres? Ez esetben a legjobb helyen jár! Széles kínálatunkban garantáltan megtalálhatja az igényeinek megfelelőt!
Az SP 02/RD piros színű mini záró nyomógomb 1 áramkör működtetésére alkalmas.  Max. terhelhetősége: 250 V~ / 1,5 A. Mérete: ø7 mm. Beépítési mérete/nyílása: ø7 mm. Beépítési mélysége saruval: 15 mm. Saruk száma: 2. Válassza a minőségi termékeket és rendeljen webáruházunkból.</t>
        </is>
      </c>
    </row>
    <row r="1676">
      <c r="A1676" s="3" t="inlineStr">
        <is>
          <t>ST 10/RD</t>
        </is>
      </c>
      <c r="B1676" s="2" t="inlineStr">
        <is>
          <t>Home ST 10/RD nyomókapcsoló, 1 áramkör - 2 állás, 250 V, 3 A, piros</t>
        </is>
      </c>
      <c r="C1676" s="1" t="n">
        <v>679.0</v>
      </c>
      <c r="D1676" s="7" t="n">
        <f>HYPERLINK("https://www.somogyi.hu/product/home-st-10-rd-nyomokapcsolo-1-aramkor-2-allas-250-v-3-a-piros-st-10-rd-2128","https://www.somogyi.hu/product/home-st-10-rd-nyomokapcsolo-1-aramkor-2-allas-250-v-3-a-piros-st-10-rd-2128")</f>
        <v>0.0</v>
      </c>
      <c r="E1676" s="7" t="n">
        <f>HYPERLINK("https://www.somogyi.hu/data/img/product_main_images/small/02128.jpg","https://www.somogyi.hu/data/img/product_main_images/small/02128.jpg")</f>
        <v>0.0</v>
      </c>
      <c r="F1676" s="2" t="inlineStr">
        <is>
          <t>5998312723739</t>
        </is>
      </c>
      <c r="G1676" s="4" t="inlineStr">
        <is>
          <t>Megbízható beépíthető kapcsolót keres? Ez esetben a legjobb helyen jár! Széles kínálatunkban garantáltan megtalálhatja az igényeinek megfelelőt!
Az ST 10/RD piros színű billenőkapcsoló 2 állású és 1 áramkör működtetésére alkalmas.  Max. terhelhetősége: 125 V~ / 3 A. Mérete: ø19 mm. Beépítési mérete/nyílása: ø12 mm. Beépítési mélysége saruval: 28,5 mm. Saruk száma: 2. Válassza a minőségi termékeket és rendeljen webáruházunkból.</t>
        </is>
      </c>
    </row>
    <row r="1677">
      <c r="A1677" s="3" t="inlineStr">
        <is>
          <t>SP 02/BK</t>
        </is>
      </c>
      <c r="B1677" s="2" t="inlineStr">
        <is>
          <t>Home SP 02/BK nyomógomb, 1 áramkör, mini záró, fekete</t>
        </is>
      </c>
      <c r="C1677" s="1" t="n">
        <v>449.0</v>
      </c>
      <c r="D1677" s="7" t="n">
        <f>HYPERLINK("https://www.somogyi.hu/product/home-sp-02-bk-nyomogomb-1-aramkor-mini-zaro-fekete-sp-02-bk-4309","https://www.somogyi.hu/product/home-sp-02-bk-nyomogomb-1-aramkor-mini-zaro-fekete-sp-02-bk-4309")</f>
        <v>0.0</v>
      </c>
      <c r="E1677" s="7" t="n">
        <f>HYPERLINK("https://www.somogyi.hu/data/img/product_main_images/small/04309.jpg","https://www.somogyi.hu/data/img/product_main_images/small/04309.jpg")</f>
        <v>0.0</v>
      </c>
      <c r="F1677" s="2" t="inlineStr">
        <is>
          <t>5998312737729</t>
        </is>
      </c>
      <c r="G1677" s="4" t="inlineStr">
        <is>
          <t>Megbízható beépíthető kapcsolót keres? Ez esetben a legjobb helyen jár! Széles kínálatunkban garantáltan megtalálhatja az igényeinek megfelelőt!
Az SP 02/BK fekete színű mini záró nyomógomb 1 áramkör működtetésére alkalmas.  Max. terhelhetősége: 250 V~ / 1,5 A. Mérete: ø7 mm. Beépítési mérete/nyílása: ø7 mm. Beépítési mélysége saruval: 15 mm. Saruk száma: 2. Válassza a minőségi termékeket és rendeljen webáruházunkból.</t>
        </is>
      </c>
    </row>
    <row r="1678">
      <c r="A1678" s="3" t="inlineStr">
        <is>
          <t>SP 12/GR</t>
        </is>
      </c>
      <c r="B1678" s="2" t="inlineStr">
        <is>
          <t>Home SP 12/GR nyomógomb, 1 áramkör, záró, 250 V, 1,5 A, zöld</t>
        </is>
      </c>
      <c r="C1678" s="1" t="n">
        <v>659.0</v>
      </c>
      <c r="D1678" s="7" t="n">
        <f>HYPERLINK("https://www.somogyi.hu/product/home-sp-12-gr-nyomogomb-1-aramkor-zaro-250-v-1-5-a-zold-sp-12-gr-2793","https://www.somogyi.hu/product/home-sp-12-gr-nyomogomb-1-aramkor-zaro-250-v-1-5-a-zold-sp-12-gr-2793")</f>
        <v>0.0</v>
      </c>
      <c r="E1678" s="7" t="n">
        <f>HYPERLINK("https://www.somogyi.hu/data/img/product_main_images/small/02793.jpg","https://www.somogyi.hu/data/img/product_main_images/small/02793.jpg")</f>
        <v>0.0</v>
      </c>
      <c r="F1678" s="2" t="inlineStr">
        <is>
          <t>5998312731178</t>
        </is>
      </c>
      <c r="G1678" s="4" t="inlineStr">
        <is>
          <t>Megbízható beépíthető kapcsolót keres? Ez esetben a legjobb helyen jár! Széles kínálatunkban garantáltan megtalálhatja az igényeinek megfelelőt!
Az SP 12/GR zöld színű záró nyomógomb 1 áramkör működtetésére alkalmas. Max. terhelhetősége: 250 V~ / 1,5 A. Mérete: ø14 mm. Beépítési mérete/nyílása: ø13 mm. Beépítési mélysége saruval: 21 mm. Saruk száma: 2. Válassza a minőségi termékeket és rendeljen webáruházunkból.</t>
        </is>
      </c>
    </row>
    <row r="1679">
      <c r="A1679" s="3" t="inlineStr">
        <is>
          <t>ST 22</t>
        </is>
      </c>
      <c r="B1679" s="2" t="inlineStr">
        <is>
          <t>Home ST 22 billenőkapcsoló, 1 áramkör - 3 állás, 250 V, 6 A, fekete</t>
        </is>
      </c>
      <c r="C1679" s="1" t="n">
        <v>1190.0</v>
      </c>
      <c r="D1679" s="7" t="n">
        <f>HYPERLINK("https://www.somogyi.hu/product/home-st-22-billenokapcsolo-1-aramkor-3-allas-250-v-6-a-fekete-st-22-2799","https://www.somogyi.hu/product/home-st-22-billenokapcsolo-1-aramkor-3-allas-250-v-6-a-fekete-st-22-2799")</f>
        <v>0.0</v>
      </c>
      <c r="E1679" s="7" t="n">
        <f>HYPERLINK("https://www.somogyi.hu/data/img/product_main_images/small/02799.jpg","https://www.somogyi.hu/data/img/product_main_images/small/02799.jpg")</f>
        <v>0.0</v>
      </c>
      <c r="F1679" s="2" t="inlineStr">
        <is>
          <t>5998312731239</t>
        </is>
      </c>
      <c r="G1679" s="4" t="inlineStr">
        <is>
          <t>Megbízható beépíthető kapcsolót keres? Ez esetben a legjobb helyen jár! Széles kínálatunkban garantáltan megtalálhatja az igényeinek megfelelőt!
Az ST 22 billenőkapcsoló 3 állású és 1 áramkör működtetésére alkalmas.  Max. terhelhetősége: 250 V~ / 6 A. Mérete: 29 x 16 mm. Beépítési mérete/nyílása: ø11,5 mm. Beépítési mélysége saruval: 28,2 mm. Saruk száma: 3. Válassza a minőségi termékeket és rendeljen webáruházunkból.</t>
        </is>
      </c>
    </row>
    <row r="1680">
      <c r="A1680" s="3" t="inlineStr">
        <is>
          <t>AKV 12</t>
        </is>
      </c>
      <c r="B1680" s="2" t="inlineStr">
        <is>
          <t>Home AKV 12 világítós billenőkapcsoló, 1 áramkör - 2 állás, 12 V, zöld, kerek</t>
        </is>
      </c>
      <c r="C1680" s="1" t="n">
        <v>609.0</v>
      </c>
      <c r="D1680" s="7" t="n">
        <f>HYPERLINK("https://www.somogyi.hu/product/home-akv-12-vilagitos-billenokapcsolo-1-aramkor-2-allas-12-v-zold-kerek-akv-12-4254","https://www.somogyi.hu/product/home-akv-12-vilagitos-billenokapcsolo-1-aramkor-2-allas-12-v-zold-kerek-akv-12-4254")</f>
        <v>0.0</v>
      </c>
      <c r="E1680" s="7" t="n">
        <f>HYPERLINK("https://www.somogyi.hu/data/img/product_main_images/small/04254.jpg","https://www.somogyi.hu/data/img/product_main_images/small/04254.jpg")</f>
        <v>0.0</v>
      </c>
      <c r="F1680" s="2" t="inlineStr">
        <is>
          <t>5998312708798</t>
        </is>
      </c>
      <c r="G1680" s="4" t="inlineStr">
        <is>
          <t>Megbízható beépíthető kapcsolót keres? Ez esetben a legjobb helyen jár! Széles kínálatunkban garantáltan megtalálhatja az igényeinek megfelelőt!
Az AKV 12 világítós billenőkapcsoló 2 állású és 1 áramkör működtetésére alkalmas. Max. terhelhetősége: 12 V / 16 A. Mérete: ø23 mm. Beépítési mérete/nyílása: ø20 mm. Beépítési mélysége saruval: 22,8 mm. Saruk száma: 3. A fényforrás tápellátása: 12 V. Válassza a minőségi termékeket és rendeljen webáruházunkból.</t>
        </is>
      </c>
    </row>
    <row r="1681">
      <c r="A1681" s="3" t="inlineStr">
        <is>
          <t>ST 302</t>
        </is>
      </c>
      <c r="B1681" s="2" t="inlineStr">
        <is>
          <t>Home ST 302 billenőkapcsoló, 1 áramkör - 2 állás, 250 V, 3 A, kék</t>
        </is>
      </c>
      <c r="C1681" s="1" t="n">
        <v>529.0</v>
      </c>
      <c r="D1681" s="7" t="n">
        <f>HYPERLINK("https://www.somogyi.hu/product/home-st-302-billenokapcsolo-1-aramkor-2-allas-250-v-3-a-kek-st-302-1890","https://www.somogyi.hu/product/home-st-302-billenokapcsolo-1-aramkor-2-allas-250-v-3-a-kek-st-302-1890")</f>
        <v>0.0</v>
      </c>
      <c r="E1681" s="7" t="n">
        <f>HYPERLINK("https://www.somogyi.hu/data/img/product_main_images/small/01890.jpg","https://www.somogyi.hu/data/img/product_main_images/small/01890.jpg")</f>
        <v>0.0</v>
      </c>
      <c r="F1681" s="2" t="inlineStr">
        <is>
          <t>5998312704417</t>
        </is>
      </c>
      <c r="G1681" s="4" t="inlineStr">
        <is>
          <t>Megbízható beépíthető kapcsolót keres? Ez esetben a legjobb helyen jár! Széles kínálatunkban garantáltan megtalálhatja az igényeinek megfelelőt!
Az ST 302 billenőkapcsoló 2 állású és 1 áramkör működtetésére alkalmas.  Max. terhelhetősége: 250 V~ / 3 A. Mérete: 13 x 8 mm. Beépítési mérete/nyílása: ø6 mm. Beépítési mélysége saruval: 15 mm. Saruk száma: 3. Válassza a minőségi termékeket és rendeljen webáruházunkból.</t>
        </is>
      </c>
    </row>
    <row r="1682">
      <c r="A1682" s="3" t="inlineStr">
        <is>
          <t>ST 303</t>
        </is>
      </c>
      <c r="B1682" s="2" t="inlineStr">
        <is>
          <t>Home ST 303 billenőkapcsoló, 1 áramkör - 3 állás, 250 V, 3 A, kék</t>
        </is>
      </c>
      <c r="C1682" s="1" t="n">
        <v>529.0</v>
      </c>
      <c r="D1682" s="7" t="n">
        <f>HYPERLINK("https://www.somogyi.hu/product/home-st-303-billenokapcsolo-1-aramkor-3-allas-250-v-3-a-kek-st-303-1891","https://www.somogyi.hu/product/home-st-303-billenokapcsolo-1-aramkor-3-allas-250-v-3-a-kek-st-303-1891")</f>
        <v>0.0</v>
      </c>
      <c r="E1682" s="7" t="n">
        <f>HYPERLINK("https://www.somogyi.hu/data/img/product_main_images/small/01891.jpg","https://www.somogyi.hu/data/img/product_main_images/small/01891.jpg")</f>
        <v>0.0</v>
      </c>
      <c r="F1682" s="2" t="inlineStr">
        <is>
          <t>5998312704424</t>
        </is>
      </c>
      <c r="G1682" s="4" t="inlineStr">
        <is>
          <t>Megbízható beépíthető kapcsolót keres? Ez esetben a legjobb helyen jár! Széles kínálatunkban garantáltan megtalálhatja az igényeinek megfelelőt!
Az ST 303 billenőkapcsoló 3 állású és 1 áramkör működtetésére alkalmas. Max. terhelhetősége: 250 V~ / 3 A. Mérete: 13 x 8 mm. Beépítési mérete/nyílása: ø6 mm. Beépítési mélysége saruval: 15 mm. Saruk száma: 3. Válassza a minőségi termékeket és rendeljen webáruházunkból.</t>
        </is>
      </c>
    </row>
    <row r="1683">
      <c r="A1683" s="3" t="inlineStr">
        <is>
          <t>ST 10/BK</t>
        </is>
      </c>
      <c r="B1683" s="2" t="inlineStr">
        <is>
          <t>Home ST 10/BK nyomókapcsoló, 1 áramkör - 2 állás, 250 V, 3 A, fekete</t>
        </is>
      </c>
      <c r="C1683" s="1" t="n">
        <v>679.0</v>
      </c>
      <c r="D1683" s="7" t="n">
        <f>HYPERLINK("https://www.somogyi.hu/product/home-st-10-bk-nyomokapcsolo-1-aramkor-2-allas-250-v-3-a-fekete-st-10-bk-1888","https://www.somogyi.hu/product/home-st-10-bk-nyomokapcsolo-1-aramkor-2-allas-250-v-3-a-fekete-st-10-bk-1888")</f>
        <v>0.0</v>
      </c>
      <c r="E1683" s="7" t="n">
        <f>HYPERLINK("https://www.somogyi.hu/data/img/product_main_images/small/01888.jpg","https://www.somogyi.hu/data/img/product_main_images/small/01888.jpg")</f>
        <v>0.0</v>
      </c>
      <c r="F1683" s="2" t="inlineStr">
        <is>
          <t>5998312704394</t>
        </is>
      </c>
      <c r="G1683" s="4" t="inlineStr">
        <is>
          <t>Megbízható beépíthető kapcsolót keres? Ez esetben a legjobb helyen jár! Széles kínálatunkban garantáltan megtalálhatja az igényeinek megfelelőt!
Az ST 10/BK fekete színű billenőkapcsoló 2 állású és 1 áramkör működtetésére alkalmas. Max. terhelhetősége: 125 V~ / 3 A. Mérete: ø19 mm. Beépítési mérete/nyílása: ø12 mm. Beépítési mélysége saruval: 28,5 mm. Saruk száma: 2. Válassza a minőségi termékeket és rendeljen webáruházunkból.</t>
        </is>
      </c>
    </row>
    <row r="1684">
      <c r="A1684" s="3" t="inlineStr">
        <is>
          <t>ST 1/BK</t>
        </is>
      </c>
      <c r="B1684" s="2" t="inlineStr">
        <is>
          <t>Home ST 1/BK mini billenőkapcsoló, 1 áramkör - 2 állás, 250 V, 3 A, fekete</t>
        </is>
      </c>
      <c r="C1684" s="1" t="n">
        <v>289.0</v>
      </c>
      <c r="D1684" s="7" t="n">
        <f>HYPERLINK("https://www.somogyi.hu/product/home-st-1-bk-mini-billenokapcsolo-1-aramkor-2-allas-250-v-3-a-fekete-st-1-bk-2014","https://www.somogyi.hu/product/home-st-1-bk-mini-billenokapcsolo-1-aramkor-2-allas-250-v-3-a-fekete-st-1-bk-2014")</f>
        <v>0.0</v>
      </c>
      <c r="E1684" s="7" t="n">
        <f>HYPERLINK("https://www.somogyi.hu/data/img/product_main_images/small/02014.jpg","https://www.somogyi.hu/data/img/product_main_images/small/02014.jpg")</f>
        <v>0.0</v>
      </c>
      <c r="F1684" s="2" t="inlineStr">
        <is>
          <t>5998312718049</t>
        </is>
      </c>
      <c r="G1684" s="4" t="inlineStr">
        <is>
          <t>Megbízható beépíthető kapcsolót keres? Ez esetben a legjobb helyen jár! Széles kínálatunkban garantáltan megtalálhatja az igényeinek megfelelőt!
Az ST 1/BK fekete színű mini billenőkapcsoló 2 állású és 1 áramkör működtetésére alkalmas. Max. terhelhetősége: 250 V~ / 3 A. Mérete: 21 x 15 mm. Beépítési mérete/nyílása: 20 x 13 mm. Beépítési mélysége saruval: 18,5 mm. Saruk száma: 2. Válassza a minőségi termékeket és rendeljen webáruházunkból.</t>
        </is>
      </c>
    </row>
    <row r="1685">
      <c r="A1685" s="3" t="inlineStr">
        <is>
          <t>STV 15</t>
        </is>
      </c>
      <c r="B1685" s="2" t="inlineStr">
        <is>
          <t>Home STV 15 világítós billenőkapcsoló, 1 áramkör - 2 állás, 250 V, 6 A, piros</t>
        </is>
      </c>
      <c r="C1685" s="1" t="n">
        <v>729.0</v>
      </c>
      <c r="D1685" s="7" t="n">
        <f>HYPERLINK("https://www.somogyi.hu/product/home-stv-15-vilagitos-billenokapcsolo-1-aramkor-2-allas-250-v-6-a-piros-stv-15-2720","https://www.somogyi.hu/product/home-stv-15-vilagitos-billenokapcsolo-1-aramkor-2-allas-250-v-6-a-piros-stv-15-2720")</f>
        <v>0.0</v>
      </c>
      <c r="E1685" s="7" t="n">
        <f>HYPERLINK("https://www.somogyi.hu/data/img/product_main_images/small/02720.jpg","https://www.somogyi.hu/data/img/product_main_images/small/02720.jpg")</f>
        <v>0.0</v>
      </c>
      <c r="F1685" s="2" t="inlineStr">
        <is>
          <t>5998312730447</t>
        </is>
      </c>
      <c r="G1685" s="4" t="inlineStr">
        <is>
          <t>Megbízható beépíthető kapcsolót keres? Ez esetben a legjobb helyen jár! Széles kínálatunkban garantáltan megtalálhatja az igényeinek megfelelőt!
Az STV 15 világítós billenőkapcsoló 2 állású és 1 áramkör működtetésére alkalmas. A kapcsoló glimm típusú fényforrással rendelkezik. Max. terhelhetősége: 250 V~ / 6 A. Mérete: 21 x 15 mm. Beépítési mérete/nyílása: 20 x 13 mm. Beépítési mélysége saruval: 22 mm. Saruk száma: 3. Válassza a minőségi termékeket és rendeljen webáruházunkból.</t>
        </is>
      </c>
    </row>
    <row r="1686">
      <c r="A1686" s="3" t="inlineStr">
        <is>
          <t>STV 07</t>
        </is>
      </c>
      <c r="B1686" s="2" t="inlineStr">
        <is>
          <t>Home STV 07 világítós billenőkapcsoló, 1 áramkör - 2 állás, 250 V, 6 A, piros</t>
        </is>
      </c>
      <c r="C1686" s="1" t="n">
        <v>889.0</v>
      </c>
      <c r="D1686" s="7" t="n">
        <f>HYPERLINK("https://www.somogyi.hu/product/home-stv-07-vilagitos-billenokapcsolo-1-aramkor-2-allas-250-v-6-a-piros-stv-07-2641","https://www.somogyi.hu/product/home-stv-07-vilagitos-billenokapcsolo-1-aramkor-2-allas-250-v-6-a-piros-stv-07-2641")</f>
        <v>0.0</v>
      </c>
      <c r="E1686" s="7" t="n">
        <f>HYPERLINK("https://www.somogyi.hu/data/img/product_main_images/small/02641.jpg","https://www.somogyi.hu/data/img/product_main_images/small/02641.jpg")</f>
        <v>0.0</v>
      </c>
      <c r="F1686" s="2" t="inlineStr">
        <is>
          <t>5998312729595</t>
        </is>
      </c>
      <c r="G1686" s="4" t="inlineStr">
        <is>
          <t>Megbízható beépíthető kapcsolót keres? Ez esetben a legjobb helyen jár! Széles kínálatunkban garantáltan megtalálhatja az igényeinek megfelelőt!
Az STV 07 világítós billenőkapcsoló 2 állású és 1 áramkör működtetésére alkalmas. A kapcsoló glimm típusú fényforrással rendelkezik. Max. terhelhetősége: 250 V~ / 6 A. Mérete: ø23 mm. Beépítési mérete/nyílása: ø21 mm. Beépítési mélysége saruval: 24 mm. Saruk száma: 3. Válassza a minőségi termékeket és rendeljen webáruházunkból.</t>
        </is>
      </c>
    </row>
    <row r="1687">
      <c r="A1687" s="3" t="inlineStr">
        <is>
          <t>MSW 13</t>
        </is>
      </c>
      <c r="B1687" s="2" t="inlineStr">
        <is>
          <t>Home MSW 13 mikrokapcsoló, 1 áramkör, 5 A, mini nyomógörgős</t>
        </is>
      </c>
      <c r="C1687" s="1" t="n">
        <v>459.0</v>
      </c>
      <c r="D1687" s="7" t="n">
        <f>HYPERLINK("https://www.somogyi.hu/product/home-msw-13-mikrokapcsolo-1-aramkor-5-a-mini-nyomogorgos-msw-13-4780","https://www.somogyi.hu/product/home-msw-13-mikrokapcsolo-1-aramkor-5-a-mini-nyomogorgos-msw-13-4780")</f>
        <v>0.0</v>
      </c>
      <c r="E1687" s="7" t="n">
        <f>HYPERLINK("https://www.somogyi.hu/data/img/product_main_images/small/04780.jpg","https://www.somogyi.hu/data/img/product_main_images/small/04780.jpg")</f>
        <v>0.0</v>
      </c>
      <c r="F1687" s="2" t="inlineStr">
        <is>
          <t>5998312742235</t>
        </is>
      </c>
      <c r="G1687" s="4" t="inlineStr">
        <is>
          <t>Megbízható beépíthető kapcsolót keres? Ez esetben a legjobb helyen jár! Széles kínálatunkban garantáltan megtalálhatja az igényeinek megfelelőt!
Az MSW 13 mini mérettel rendelkező nyomógörgős mikrókapcsoló. Max. terhelhetősége: 250 V~ / 5 A. Mérete: 20 x 11 x 7 mm. Beépítési mérete/nyílása: 20 x 10,7 x 6,5 mm.  Saruk száma: 3. Válassza a minőségi termékeket és rendeljen webáruházunkból.</t>
        </is>
      </c>
    </row>
    <row r="1688">
      <c r="A1688" s="3" t="inlineStr">
        <is>
          <t>AKV 11</t>
        </is>
      </c>
      <c r="B1688" s="2" t="inlineStr">
        <is>
          <t>Home AKV 11 világítós billenőkapcsoló, 1 áramkör - 2 állás, 12 V, piros, kerek</t>
        </is>
      </c>
      <c r="C1688" s="1" t="n">
        <v>609.0</v>
      </c>
      <c r="D1688" s="7" t="n">
        <f>HYPERLINK("https://www.somogyi.hu/product/home-akv-11-vilagitos-billenokapcsolo-1-aramkor-2-allas-12-v-piros-kerek-akv-11-4255","https://www.somogyi.hu/product/home-akv-11-vilagitos-billenokapcsolo-1-aramkor-2-allas-12-v-piros-kerek-akv-11-4255")</f>
        <v>0.0</v>
      </c>
      <c r="E1688" s="7" t="n">
        <f>HYPERLINK("https://www.somogyi.hu/data/img/product_main_images/small/04255.jpg","https://www.somogyi.hu/data/img/product_main_images/small/04255.jpg")</f>
        <v>0.0</v>
      </c>
      <c r="F1688" s="2" t="inlineStr">
        <is>
          <t>5998312708804</t>
        </is>
      </c>
      <c r="G1688" s="4" t="inlineStr">
        <is>
          <t>Megbízható beépíthető kapcsolót keres? Ez esetben a legjobb helyen jár! Széles kínálatunkban garantáltan megtalálhatja az igényeinek megfelelőt!
Az AKV 11 világítós billenőkapcsoló 2 állású és 1 áramkör működtetésére alkalmas. Max. terhelhetősége: 12 V / 16 A. Mérete: ø23 mm. Beépítési mérete/nyílása: ø20 mm. Beépítési mélysége saruval: 22,8 mm. Saruk száma: 3. A fényforrás tápellátása: 12 V. Válassza a minőségi termékeket és rendeljen webáruházunkból.</t>
        </is>
      </c>
    </row>
    <row r="1689">
      <c r="A1689" s="3" t="inlineStr">
        <is>
          <t>SP 12/RD</t>
        </is>
      </c>
      <c r="B1689" s="2" t="inlineStr">
        <is>
          <t>Home SP 12/RD nyomógomb, 1 áramkör, záró, 250 V, 1,5 A, piros</t>
        </is>
      </c>
      <c r="C1689" s="1" t="n">
        <v>659.0</v>
      </c>
      <c r="D1689" s="7" t="n">
        <f>HYPERLINK("https://www.somogyi.hu/product/home-sp-12-rd-nyomogomb-1-aramkor-zaro-250-v-1-5-a-piros-sp-12-rd-2794","https://www.somogyi.hu/product/home-sp-12-rd-nyomogomb-1-aramkor-zaro-250-v-1-5-a-piros-sp-12-rd-2794")</f>
        <v>0.0</v>
      </c>
      <c r="E1689" s="7" t="n">
        <f>HYPERLINK("https://www.somogyi.hu/data/img/product_main_images/small/02794.jpg","https://www.somogyi.hu/data/img/product_main_images/small/02794.jpg")</f>
        <v>0.0</v>
      </c>
      <c r="F1689" s="2" t="inlineStr">
        <is>
          <t>5998312731185</t>
        </is>
      </c>
      <c r="G1689" s="4" t="inlineStr">
        <is>
          <t>Megbízható beépíthető kapcsolót keres? Ez esetben a legjobb helyen jár! Széles kínálatunkban garantáltan megtalálhatja az igényeinek megfelelőt!
Az SP 12/RD piros színű záró nyomógomb 1 áramkör működtetésére alkalmas. Lehetőség van - záró – OFF – (ON) funkcióra. Max. terhelhetősége: 250 V~ / 1,5 A. Mérete: ø14 mm. Beépítési mérete/nyílása: ø13 mm. Beépítési mélysége saruval: 21 mm. Saruk száma: 2. Válassza a minőségi termékeket és rendeljen webáruházunkból.</t>
        </is>
      </c>
    </row>
    <row r="1690">
      <c r="A1690" s="3" t="inlineStr">
        <is>
          <t>MSW 03</t>
        </is>
      </c>
      <c r="B1690" s="2" t="inlineStr">
        <is>
          <t>Home MSW 03 mikrokapcsoló, 1 áramkör, 10 A, nyomógörgős</t>
        </is>
      </c>
      <c r="C1690" s="1" t="n">
        <v>799.0</v>
      </c>
      <c r="D1690" s="7" t="n">
        <f>HYPERLINK("https://www.somogyi.hu/product/home-msw-03-mikrokapcsolo-1-aramkor-10-a-nyomogorgos-msw-03-4778","https://www.somogyi.hu/product/home-msw-03-mikrokapcsolo-1-aramkor-10-a-nyomogorgos-msw-03-4778")</f>
        <v>0.0</v>
      </c>
      <c r="E1690" s="7" t="n">
        <f>HYPERLINK("https://www.somogyi.hu/data/img/product_main_images/small/04778.jpg","https://www.somogyi.hu/data/img/product_main_images/small/04778.jpg")</f>
        <v>0.0</v>
      </c>
      <c r="F1690" s="2" t="inlineStr">
        <is>
          <t>5998312742211</t>
        </is>
      </c>
      <c r="G1690" s="4" t="inlineStr">
        <is>
          <t>Megbízható beépíthető kapcsolót keres? Ez esetben a legjobb helyen jár! Széles kínálatunkban garantáltan megtalálhatja az igényeinek megfelelőt!
Az MSW 03 nyomógörgős mikrókapcsoló. Max. terhelhetősége: 250 V~ / 10 A (nyomógörgős). Mérete: 29 x 16 x 10 mm. Beépítési mérete/nyílása: 29 x 16 x 10,3 mm.  Saruk száma: 3. Válassza a minőségi termékeket és rendeljen webáruházunkból.</t>
        </is>
      </c>
    </row>
    <row r="1691">
      <c r="A1691" s="3" t="inlineStr">
        <is>
          <t>SP 10/BK</t>
        </is>
      </c>
      <c r="B1691" s="2" t="inlineStr">
        <is>
          <t>Home SP 10/BK nyomógomb, 1 áramkör, záró, 125 V, 3 A, fekete</t>
        </is>
      </c>
      <c r="C1691" s="1" t="n">
        <v>609.0</v>
      </c>
      <c r="D1691" s="7" t="n">
        <f>HYPERLINK("https://www.somogyi.hu/product/home-sp-10-bk-nyomogomb-1-aramkor-zaro-125-v-3-a-fekete-sp-10-bk-2012","https://www.somogyi.hu/product/home-sp-10-bk-nyomogomb-1-aramkor-zaro-125-v-3-a-fekete-sp-10-bk-2012")</f>
        <v>0.0</v>
      </c>
      <c r="E1691" s="7" t="n">
        <f>HYPERLINK("https://www.somogyi.hu/data/img/product_main_images/small/02012.jpg","https://www.somogyi.hu/data/img/product_main_images/small/02012.jpg")</f>
        <v>0.0</v>
      </c>
      <c r="F1691" s="2" t="inlineStr">
        <is>
          <t>5998312717967</t>
        </is>
      </c>
      <c r="G1691" s="4" t="inlineStr">
        <is>
          <t>Megbízható beépíthető kapcsolót keres? Ez esetben a legjobb helyen jár! Széles kínálatunkban garantáltan megtalálhatja az igényeinek megfelelőt!
Az SP 10/BK fekete színű záró nyomógomb 1 áramkör működtetésére alkalmas. Max. terhelhetősége: 125 V~ / 3 A. Mérete: ø19 mm. Beépítési mérete/nyílása: ø12 mm. Beépítési mélysége saruval: 28,5 mm. Saruk száma: 2. Válassza a minőségi termékeket és rendeljen webáruházunkból.</t>
        </is>
      </c>
    </row>
    <row r="1692">
      <c r="A1692" s="3" t="inlineStr">
        <is>
          <t>STV 06</t>
        </is>
      </c>
      <c r="B1692" s="2" t="inlineStr">
        <is>
          <t>Home STV 06 világítós billenőkapcsoló, 2 áramkör - 2 állás, 250 V, 5 A, zöld</t>
        </is>
      </c>
      <c r="C1692" s="1" t="n">
        <v>959.0</v>
      </c>
      <c r="D1692" s="7" t="n">
        <f>HYPERLINK("https://www.somogyi.hu/product/home-stv-06-vilagitos-billenokapcsolo-2-aramkor-2-allas-250-v-5-a-zold-stv-06-2045","https://www.somogyi.hu/product/home-stv-06-vilagitos-billenokapcsolo-2-aramkor-2-allas-250-v-5-a-zold-stv-06-2045")</f>
        <v>0.0</v>
      </c>
      <c r="E1692" s="7" t="n">
        <f>HYPERLINK("https://www.somogyi.hu/data/img/product_main_images/small/02045.jpg","https://www.somogyi.hu/data/img/product_main_images/small/02045.jpg")</f>
        <v>0.0</v>
      </c>
      <c r="F1692" s="2" t="inlineStr">
        <is>
          <t>5998312722442</t>
        </is>
      </c>
      <c r="G1692" s="4" t="inlineStr">
        <is>
          <t>Megbízható beépíthető kapcsolót keres? Ez esetben a legjobb helyen jár! Széles kínálatunkban garantáltan megtalálhatja az igényeinek megfelelőt!
Az STV 06 világítós billenőkapcsoló 2 állású és 2 áramkör működtetésére alkalmas. A kapcsoló glimm típusú fényforrással rendelkezik. Max. terhelhetősége: 250 V~ / 6 A. Mérete: 21 x 15 mm. Beépítési mérete/nyílása: 20 x 13 mm. Beépítési mélysége saruval: 22 mm. Saruk száma: 4. Válassza a minőségi termékeket és rendeljen webáruházunkból.</t>
        </is>
      </c>
    </row>
    <row r="1693">
      <c r="A1693" s="6" t="inlineStr">
        <is>
          <t xml:space="preserve">   Audio-video kiegészítők / Telefonvezeték</t>
        </is>
      </c>
      <c r="B1693" s="6" t="inlineStr">
        <is>
          <t/>
        </is>
      </c>
      <c r="C1693" s="6" t="inlineStr">
        <is>
          <t/>
        </is>
      </c>
      <c r="D1693" s="6" t="inlineStr">
        <is>
          <t/>
        </is>
      </c>
      <c r="E1693" s="6" t="inlineStr">
        <is>
          <t/>
        </is>
      </c>
      <c r="F1693" s="6" t="inlineStr">
        <is>
          <t/>
        </is>
      </c>
      <c r="G1693" s="6" t="inlineStr">
        <is>
          <t/>
        </is>
      </c>
    </row>
    <row r="1694">
      <c r="A1694" s="3" t="inlineStr">
        <is>
          <t>TK 1/WH</t>
        </is>
      </c>
      <c r="B1694" s="2" t="inlineStr">
        <is>
          <t>Home TK 1/WH telefonvezeték, réz, 4 eres, fehér, 100m</t>
        </is>
      </c>
      <c r="C1694" s="1" t="n">
        <v>89.0</v>
      </c>
      <c r="D1694" s="7" t="n">
        <f>HYPERLINK("https://www.somogyi.hu/product/home-tk-1-wh-telefonvezetek-rez-4-eres-feher-100m-tk-1-wh-2885","https://www.somogyi.hu/product/home-tk-1-wh-telefonvezetek-rez-4-eres-feher-100m-tk-1-wh-2885")</f>
        <v>0.0</v>
      </c>
      <c r="E1694" s="7" t="n">
        <f>HYPERLINK("https://www.somogyi.hu/data/img/product_main_images/small/02885.jpg","https://www.somogyi.hu/data/img/product_main_images/small/02885.jpg")</f>
        <v>0.0</v>
      </c>
      <c r="F1694" s="2" t="inlineStr">
        <is>
          <t>5998312732090</t>
        </is>
      </c>
      <c r="G1694" s="4" t="inlineStr">
        <is>
          <t>Keresse a masszív, megbízható kialakítással rendelkező telefonvezetékeket! A TK 1/WH fehér színű, 4 eres telefonvezeték réz alapanyagú, 4C x (7 x 0,12 mm-es) kivitelben kapható. Kiszerelés: 100m/tekercs. Válassza a minőségi termékeket és rendeljen webáruházunkból.</t>
        </is>
      </c>
    </row>
    <row r="1695">
      <c r="A1695" s="6" t="inlineStr">
        <is>
          <t xml:space="preserve">   Audio-video kiegészítők / Szerelt telefonkábel</t>
        </is>
      </c>
      <c r="B1695" s="6" t="inlineStr">
        <is>
          <t/>
        </is>
      </c>
      <c r="C1695" s="6" t="inlineStr">
        <is>
          <t/>
        </is>
      </c>
      <c r="D1695" s="6" t="inlineStr">
        <is>
          <t/>
        </is>
      </c>
      <c r="E1695" s="6" t="inlineStr">
        <is>
          <t/>
        </is>
      </c>
      <c r="F1695" s="6" t="inlineStr">
        <is>
          <t/>
        </is>
      </c>
      <c r="G1695" s="6" t="inlineStr">
        <is>
          <t/>
        </is>
      </c>
    </row>
    <row r="1696">
      <c r="A1696" s="3" t="inlineStr">
        <is>
          <t>T 5-5WH/X</t>
        </is>
      </c>
      <c r="B1696" s="2" t="inlineStr">
        <is>
          <t>Home T 5-5WH/X telefoncsatlakozó kábel, 6P4C, dugó-dugó, 5m</t>
        </is>
      </c>
      <c r="C1696" s="1" t="n">
        <v>859.0</v>
      </c>
      <c r="D1696" s="7" t="n">
        <f>HYPERLINK("https://www.somogyi.hu/product/home-t-5-5wh-x-telefoncsatlakozo-kabel-6p4c-dugo-dugo-5m-t-5-5wh-x-2906","https://www.somogyi.hu/product/home-t-5-5wh-x-telefoncsatlakozo-kabel-6p4c-dugo-dugo-5m-t-5-5wh-x-2906")</f>
        <v>0.0</v>
      </c>
      <c r="E1696" s="7" t="n">
        <f>HYPERLINK("https://www.somogyi.hu/data/img/product_main_images/small/02906.jpg","https://www.somogyi.hu/data/img/product_main_images/small/02906.jpg")</f>
        <v>0.0</v>
      </c>
      <c r="F1696" s="2" t="inlineStr">
        <is>
          <t>5998312732304</t>
        </is>
      </c>
      <c r="G1696" s="4" t="inlineStr">
        <is>
          <t>Előfordult már, hogy a telefonkészüléke közelében kellett maradnia, mert a kábel túl rövid volt?
A Home T 5-5WH/X telefoncsatlakozó kábel praktikus megoldást kínál, ha nagyobb távolságot szeretne áthidalni a telefonkészüléke és a csatlakozó aljzat között. Az 5 méter hosszú kábel rugalmas elhelyezést tesz lehetővé, így kényelmesen átrendezheti a készülékeit, anélkül hogy a kábelhossz korlátozná a lehetőségeket. A 6P4C típusú csatlakozó szabványos kialakítása révén kompatibilis a legtöbb vezetékes telefonkészülékkel, miközben biztosítja a stabil és zavartalan jelátvitelt.
Főbb jellemzők:
- Csatlakozók: 6P4C típusú dugó-dugó csatlakozók a gyors és biztonságos csatlakoztatásért
- Kábelhossz: 5 méter, amely ideális távolságot biztosít a kényelmes használathoz
- Szín: Fehér, semleges megjelenés, amely bármilyen környezethez illeszkedik
- Bliszteres csomagolás: Védi a kábelt a szállítás és tárolás során
Kényelmes és megbízható megoldás
Ez a telefoncsatlakozó kábel különösen ajánlott otthoni és irodai használatra, ahol fontos a megbízható és minőségi kapcsolat a telefonhívások során. A tartós anyaghasználatnak köszönhetően hosszú élettartamra tervezett, így nem kell aggódnia a gyors elhasználódás miatt. A fehér színű burkolat esztétikus megjelenést kölcsönöz, miközben könnyedén elrejthető a környezetben.
Miért válassza a Home T 5-5WH/X kábelt?
Ha egy olyan telefoncsatlakozó kábelt keres, amely biztosítja a stabil kapcsolatot, megfelelő hosszúságot nyújt, és könnyen csatlakoztatható, akkor ez a modell ideális választás. Az 5 méteres kábelhosszúság lehetővé teszi, hogy szabadon helyezhesse el a telefonkészülékét, miközben fenntartja a kiváló jelminőséget.
Ne hagyja, hogy a rövid kábelek korlátozzák a mozgásterét! Rendelje meg a Home T 5-5WH/X telefoncsatlakozó kábelt, és élvezze a szabadabb elrendezést és a zavartalan telefonálást!</t>
        </is>
      </c>
    </row>
    <row r="1697">
      <c r="A1697" s="3" t="inlineStr">
        <is>
          <t>T 5-5/WH</t>
        </is>
      </c>
      <c r="B1697" s="2" t="inlineStr">
        <is>
          <t>Home T 5-5/WH telefoncsatlakozó kábel, 6P/4C (RJ 11), dugó - dugó, fehér, 5m</t>
        </is>
      </c>
      <c r="C1697" s="1" t="n">
        <v>729.0</v>
      </c>
      <c r="D1697" s="7" t="n">
        <f>HYPERLINK("https://www.somogyi.hu/product/home-t-5-5-wh-telefoncsatlakozo-kabel-6p-4c-rj-11-dugo-dugo-feher-5m-t-5-5-wh-2910","https://www.somogyi.hu/product/home-t-5-5-wh-telefoncsatlakozo-kabel-6p-4c-rj-11-dugo-dugo-feher-5m-t-5-5-wh-2910")</f>
        <v>0.0</v>
      </c>
      <c r="E1697" s="7" t="n">
        <f>HYPERLINK("https://www.somogyi.hu/data/img/product_main_images/small/02910.jpg","https://www.somogyi.hu/data/img/product_main_images/small/02910.jpg")</f>
        <v>0.0</v>
      </c>
      <c r="F1697" s="2" t="inlineStr">
        <is>
          <t>5998312732342</t>
        </is>
      </c>
      <c r="G1697" s="4" t="inlineStr">
        <is>
          <t>Keresse a masszív kialakítással rendelkező telefonkábeleket. 
A T 5-5/WH fehér színben, 5 méteres hosszban kapható. Az kábel mindkét végén dugóval(6P/4C)  rendelkezik. Válassza a minőségi termékeket és rendeljen webáruházunkból.</t>
        </is>
      </c>
    </row>
    <row r="1698">
      <c r="A1698" s="3" t="inlineStr">
        <is>
          <t>T 5-10WH/X</t>
        </is>
      </c>
      <c r="B1698" s="2" t="inlineStr">
        <is>
          <t>Home T 5-10WH/X telefoncsatlakozó kábel, 6P4C, dugó-dugó, 10m</t>
        </is>
      </c>
      <c r="C1698" s="1" t="n">
        <v>1390.0</v>
      </c>
      <c r="D1698" s="7" t="n">
        <f>HYPERLINK("https://www.somogyi.hu/product/home-t-5-10wh-x-telefoncsatlakozo-kabel-6p4c-dugo-dugo-10m-t-5-10wh-x-2905","https://www.somogyi.hu/product/home-t-5-10wh-x-telefoncsatlakozo-kabel-6p4c-dugo-dugo-10m-t-5-10wh-x-2905")</f>
        <v>0.0</v>
      </c>
      <c r="E1698" s="7" t="n">
        <f>HYPERLINK("https://www.somogyi.hu/data/img/product_main_images/small/02905.jpg","https://www.somogyi.hu/data/img/product_main_images/small/02905.jpg")</f>
        <v>0.0</v>
      </c>
      <c r="F1698" s="2" t="inlineStr">
        <is>
          <t>5998312732298</t>
        </is>
      </c>
      <c r="G1698" s="4" t="inlineStr">
        <is>
          <t>Gyakran tapasztalja, hogy a telefonkábel hossza korlátozza a szabad mozgást?
A Home T 5-10WH/X telefoncsatlakozó kábel ideális választás, ha hosszabb, megbízható és kiváló minőségű kábelt keres telefonkészülékek csatlakoztatásához. A 10 méter hosszúságú kábel lehetővé teszi a kényelmes elrendezést, akár nagyobb helyiségekben vagy távolabb lévő készülékek esetén is. A 6P4C csatlakozó kialakítás biztosítja a stabil és zavartalan jelátvitelt, így tiszta hangminőséget nyújt a beszélgetések során.
Főbb jellemzők:
- 6P4C csatlakozó: Standard telefonos csatlakozó, amely kiváló kompatibilitást biztosít vezetékes telefonkészülékekhez
- Dugó-dugó csatlakozás: Közvetlenül használható telefonkészülékek és aljzatok összekötésére
- 10 méter hosszúság: Kényelmes elérhetőséget biztosít távolabb lévő telefonkészülékekhez, nagyobb helyiségekben is
- Fehér szín: Semleges, esztétikus megjelenés, amely szinte bármilyen környezetbe illeszkedik
- Bliszteres csomagolás: Biztonságos tárolás és szállítás a kábel sérülésének elkerülése érdekében
Kiváló választás otthoni és irodai használatra
Akár otthon, akár munkahelyen használja, ez a telefonkábel kiválóan alkalmas hosszabb távú telefonos csatlakozások biztosítására. A tartós anyagokból készült kábel ellenáll a mindennapos használatból adódó kopásnak, miközben megbízható kapcsolatot nyújt a beszélgetések során.
Miért érdemes a Home T 5-10WH/X kábelt választani?
Ha fontos önnek a zavartalan kommunikáció, és egy strapabíró, hosszú élettartamú kábelt keres, akkor ez a modell garantáltan megfelel az elvárásainak. Az extra hosszúság lehetővé teszi a telefon készülék kényelmes elhelyezését anélkül, hogy a kábel hossza korlátozná a lehetőségeket.
Ne hagyja, hogy a rövid kábelek hátráltassák a mindennapi kommunikációt! Rendelje meg a Home T 5-10WH/X telefoncsatlakozó kábelt, és élvezze a zavartalan kapcsolatot minden hívás során!</t>
        </is>
      </c>
    </row>
    <row r="1699">
      <c r="A1699" s="3" t="inlineStr">
        <is>
          <t>T 5-10/WH</t>
        </is>
      </c>
      <c r="B1699" s="2" t="inlineStr">
        <is>
          <t>Home T 5-10/WH telefoncsatlakozó kábel, 6P/4C (RJ 11), dugó - dugó, fehér, 10m</t>
        </is>
      </c>
      <c r="C1699" s="1" t="n">
        <v>1250.0</v>
      </c>
      <c r="D1699" s="7" t="n">
        <f>HYPERLINK("https://www.somogyi.hu/product/home-t-5-10-wh-telefoncsatlakozo-kabel-6p-4c-rj-11-dugo-dugo-feher-10m-t-5-10-wh-2909","https://www.somogyi.hu/product/home-t-5-10-wh-telefoncsatlakozo-kabel-6p-4c-rj-11-dugo-dugo-feher-10m-t-5-10-wh-2909")</f>
        <v>0.0</v>
      </c>
      <c r="E1699" s="7" t="n">
        <f>HYPERLINK("https://www.somogyi.hu/data/img/product_main_images/small/02909.jpg","https://www.somogyi.hu/data/img/product_main_images/small/02909.jpg")</f>
        <v>0.0</v>
      </c>
      <c r="F1699" s="2" t="inlineStr">
        <is>
          <t>5998312732335</t>
        </is>
      </c>
      <c r="G1699" s="4" t="inlineStr">
        <is>
          <t>Keresse a masszív kialakítással rendelkező telefonkábeleket. 
A T 5-10/WH fehér színben, 10 méteres hosszban kapható. A spirál alakú kábel mindkét végén dugóval (6P/4C) rendelkezik. Válassza a minőségi termékeket és rendeljen webáruházunkból.</t>
        </is>
      </c>
    </row>
    <row r="1700">
      <c r="A1700" s="6" t="inlineStr">
        <is>
          <t xml:space="preserve">   Audio-video kiegészítők / Pótcsengő</t>
        </is>
      </c>
      <c r="B1700" s="6" t="inlineStr">
        <is>
          <t/>
        </is>
      </c>
      <c r="C1700" s="6" t="inlineStr">
        <is>
          <t/>
        </is>
      </c>
      <c r="D1700" s="6" t="inlineStr">
        <is>
          <t/>
        </is>
      </c>
      <c r="E1700" s="6" t="inlineStr">
        <is>
          <t/>
        </is>
      </c>
      <c r="F1700" s="6" t="inlineStr">
        <is>
          <t/>
        </is>
      </c>
      <c r="G1700" s="6" t="inlineStr">
        <is>
          <t/>
        </is>
      </c>
    </row>
    <row r="1701">
      <c r="A1701" s="3" t="inlineStr">
        <is>
          <t>RINGER</t>
        </is>
      </c>
      <c r="B1701" s="2" t="inlineStr">
        <is>
          <t>Home RINGER telefon pótcsengő, univerzális, szabályozható, kikapcsolható hangjelzés</t>
        </is>
      </c>
      <c r="C1701" s="1" t="n">
        <v>4590.0</v>
      </c>
      <c r="D1701" s="7" t="n">
        <f>HYPERLINK("https://www.somogyi.hu/product/home-ringer-telefon-potcsengo-univerzalis-szabalyozhato-kikapcsolhato-hangjelzes-ringer-2945","https://www.somogyi.hu/product/home-ringer-telefon-potcsengo-univerzalis-szabalyozhato-kikapcsolhato-hangjelzes-ringer-2945")</f>
        <v>0.0</v>
      </c>
      <c r="E1701" s="7" t="n">
        <f>HYPERLINK("https://www.somogyi.hu/data/img/product_main_images/small/02945.jpg","https://www.somogyi.hu/data/img/product_main_images/small/02945.jpg")</f>
        <v>0.0</v>
      </c>
      <c r="F1701" s="2" t="inlineStr">
        <is>
          <t>5998312732694</t>
        </is>
      </c>
      <c r="G1701" s="4" t="inlineStr">
        <is>
          <t>A RINGER feltűnő hangot (95dB) és fényjelzést egyaránt kibocsátó telefoncsengő amely hagyományos, analóg telefonvonalakhoz használható. Szabályozhatjuk a készülék hangerejét, de akár ki is kapcsolhatjuk azt. A készülék tartozéka egy 1,2 méteres csatlakozó kábel. Válassza a minőségi termékeket és rendeljen webáruházunkból.</t>
        </is>
      </c>
    </row>
    <row r="1702">
      <c r="A1702" s="6" t="inlineStr">
        <is>
          <t xml:space="preserve">   Audio-video kiegészítők / Telefoncsatlakozó, telefontoldó, telefonelosztó</t>
        </is>
      </c>
      <c r="B1702" s="6" t="inlineStr">
        <is>
          <t/>
        </is>
      </c>
      <c r="C1702" s="6" t="inlineStr">
        <is>
          <t/>
        </is>
      </c>
      <c r="D1702" s="6" t="inlineStr">
        <is>
          <t/>
        </is>
      </c>
      <c r="E1702" s="6" t="inlineStr">
        <is>
          <t/>
        </is>
      </c>
      <c r="F1702" s="6" t="inlineStr">
        <is>
          <t/>
        </is>
      </c>
      <c r="G1702" s="6" t="inlineStr">
        <is>
          <t/>
        </is>
      </c>
    </row>
    <row r="1703">
      <c r="A1703" s="3" t="inlineStr">
        <is>
          <t>TS 16-2WH/X</t>
        </is>
      </c>
      <c r="B1703" s="2" t="inlineStr">
        <is>
          <t>Home TS 16-2WH/X elosztó telefonvezetékhez, 6P4C, 1 dugó-2 aljzat</t>
        </is>
      </c>
      <c r="C1703" s="1" t="n">
        <v>459.0</v>
      </c>
      <c r="D1703" s="7" t="n">
        <f>HYPERLINK("https://www.somogyi.hu/product/home-ts-16-2wh-x-eloszto-telefonvezetekhez-6p4c-1-dugo-2-aljzat-ts-16-2wh-x-2936","https://www.somogyi.hu/product/home-ts-16-2wh-x-eloszto-telefonvezetekhez-6p4c-1-dugo-2-aljzat-ts-16-2wh-x-2936")</f>
        <v>0.0</v>
      </c>
      <c r="E1703" s="7" t="n">
        <f>HYPERLINK("https://www.somogyi.hu/data/img/product_main_images/small/02936.jpg","https://www.somogyi.hu/data/img/product_main_images/small/02936.jpg")</f>
        <v>0.0</v>
      </c>
      <c r="F1703" s="2" t="inlineStr">
        <is>
          <t>5998312732601</t>
        </is>
      </c>
      <c r="G1703" s="4" t="inlineStr">
        <is>
          <t>Gondot okoz, hogy egyszerre több telefont vagy más eszközt csatlakoztasson egyetlen telefonvezetékhez? A Home TS 16-2WH/X elosztó telefonvezetékhez készült, és ideális választás, ha egyetlen vezetékből két különálló kapcsolatot szeretne létrehozni. A könnyű használat és a stabil csatlakozás garantálja, hogy minden készüléke megfelelően működjön.
Miért érdemes a Home TS 16-2WH/X elosztót választani?
- Egyszerű megoldás több készülék egyidejű csatlakoztatásához : Az elosztó segítségével egyetlen telefonvonalon keresztül két különböző készülék is használható, legyen szó telefonokról, faxokról vagy más eszközökről.
- 6P4C szabványú csatlakozók a biztos jelátvitelért : A 6P4C szabványú dugó és aljzatok stabil, megbízható csatlakozást nyújtanak, így biztos lehet benne, hogy a jelminőség kifogástalan marad.
- Kompakt és esztétikus kivitel : Az elosztó fehér színe és kis mérete diszkrét megjelenést biztosít, így könnyedén elrejthető a kábelek között, anélkül, hogy zavaró lenne a környezetben.
- Könnyű használat : Az egyszerű plug-and-play kialakításnak köszönhetően nincs szükség bonyolult telepítésre – egyszerűen csatlakoztassa a dugót a megfelelő aljzatba, és már használhatja is.
- Bliszteres csomagolás a biztonságos szállításért : A bliszteres csomagolás védi a terméket a sérülésektől, így azt tökéletes állapotban kapja kézhez.
Főbb jellemzők:
- Funkció: Elosztó telefonvezetékhez
- Csatlakozó típus: 1 dugó / 2 aljzat
- Pólus / kontaktus: 6P / 4C
- Szín: Fehér
- Csomagolás: Bliszterben
A Home TS 16-2WH/X elosztó egyszerű, mégis hatékony megoldást kínál, ha bővíteni szeretné telefonos hálózatát otthonában vagy irodájában. Csatlakoztasson egyszerre két készüléket anélkül, hogy bármilyen kompromisszumot kellene kötnie a jelminőség terén!</t>
        </is>
      </c>
    </row>
    <row r="1704">
      <c r="A1704" s="3" t="inlineStr">
        <is>
          <t>TS 52/WH</t>
        </is>
      </c>
      <c r="B1704" s="2" t="inlineStr">
        <is>
          <t>Home TS 52/WH törésgátló RJ-45 dugóhoz, 8P/8C, fehér</t>
        </is>
      </c>
      <c r="C1704" s="1" t="n">
        <v>75.0</v>
      </c>
      <c r="D1704" s="7" t="n">
        <f>HYPERLINK("https://www.somogyi.hu/product/home-ts-52-wh-toresgatlo-rj-45-dugohoz-8p-8c-feher-ts-52-wh-4737","https://www.somogyi.hu/product/home-ts-52-wh-toresgatlo-rj-45-dugohoz-8p-8c-feher-ts-52-wh-4737")</f>
        <v>0.0</v>
      </c>
      <c r="E1704" s="7" t="n">
        <f>HYPERLINK("https://www.somogyi.hu/data/img/product_main_images/small/04737.jpg","https://www.somogyi.hu/data/img/product_main_images/small/04737.jpg")</f>
        <v>0.0</v>
      </c>
      <c r="F1704" s="2" t="inlineStr">
        <is>
          <t>5998312741818</t>
        </is>
      </c>
      <c r="G1704" s="4" t="inlineStr">
        <is>
          <t>A TS 52/WH egy rendkívül praktikus fehér színű törésgátló RJ-45 dugóhoz (8P/8C). A termék előnye, hogy védi a dugót a sérüléstől és szennyeződésektől, továbbá megakadályozza a vezeték megtörését. Válassza a minőségi termékeket és rendeljen webáruházunkból.</t>
        </is>
      </c>
    </row>
    <row r="1705">
      <c r="A1705" s="3" t="inlineStr">
        <is>
          <t>TS 16-2/WH</t>
        </is>
      </c>
      <c r="B1705" s="2" t="inlineStr">
        <is>
          <t>Home TS 16-2/WH elosztó telefonvezetékhez, 6P/4C, 1 dugó - 2 aljzat, fehér</t>
        </is>
      </c>
      <c r="C1705" s="1" t="n">
        <v>349.0</v>
      </c>
      <c r="D1705" s="7" t="n">
        <f>HYPERLINK("https://www.somogyi.hu/product/home-ts-16-2-wh-eloszto-telefonvezetekhez-6p-4c-1-dugo-2-aljzat-feher-ts-16-2-wh-2903","https://www.somogyi.hu/product/home-ts-16-2-wh-eloszto-telefonvezetekhez-6p-4c-1-dugo-2-aljzat-feher-ts-16-2-wh-2903")</f>
        <v>0.0</v>
      </c>
      <c r="E1705" s="7" t="n">
        <f>HYPERLINK("https://www.somogyi.hu/data/img/product_main_images/small/02903.jpg","https://www.somogyi.hu/data/img/product_main_images/small/02903.jpg")</f>
        <v>0.0</v>
      </c>
      <c r="F1705" s="2" t="inlineStr">
        <is>
          <t>5998312732274</t>
        </is>
      </c>
      <c r="G1705" s="4" t="inlineStr">
        <is>
          <t>A TS 16-2/WH egy praktikus kialakítású fehér színű telefonelosztó, amely 1 db dugóval és 2 db aljzattal rendelkezik. A 6P/4C típusú dugók csatlakoztatására alkalmas. Válassza a minőségi termékeket és rendeljen webáruházunkból.</t>
        </is>
      </c>
    </row>
    <row r="1706">
      <c r="A1706" s="3" t="inlineStr">
        <is>
          <t>TS 1MWH/X</t>
        </is>
      </c>
      <c r="B1706" s="2" t="inlineStr">
        <is>
          <t>Home TS 1MWH/X telefon fali aljzat, 1x6P4C</t>
        </is>
      </c>
      <c r="C1706" s="1" t="n">
        <v>999.0</v>
      </c>
      <c r="D1706" s="7" t="n">
        <f>HYPERLINK("https://www.somogyi.hu/product/home-ts-1mwh-x-telefon-fali-aljzat-1x6p4c-ts-1mwh-x-2938","https://www.somogyi.hu/product/home-ts-1mwh-x-telefon-fali-aljzat-1x6p4c-ts-1mwh-x-2938")</f>
        <v>0.0</v>
      </c>
      <c r="E1706" s="7" t="n">
        <f>HYPERLINK("https://www.somogyi.hu/data/img/product_main_images/small/02938.jpg","https://www.somogyi.hu/data/img/product_main_images/small/02938.jpg")</f>
        <v>0.0</v>
      </c>
      <c r="F1706" s="2" t="inlineStr">
        <is>
          <t>5998312732625</t>
        </is>
      </c>
      <c r="G1706" s="4" t="inlineStr">
        <is>
          <t>Hogyan teheti rendezettebbé és esztétikusabbá otthoni vagy irodai telefonhálózatát? A Home TS 1MWH/X telefon fali aljzat ideális választás, ha egyszerűen kezelhető, megbízható és esztétikus megoldást keres telefoncsatlakoztatáshoz. Fehér színű, letisztult kialakításának köszönhetően bármilyen környezetben diszkréten illeszkedik a fal síkjába, miközben a csavaros bekötés biztosítja a stabil és tartós kapcsolatot.
Kiváló minőségű kialakítás és egyszerű telepítés
A Home TS 1MWH/X telefon aljzat 6 pólusú, 4 érintkezős (6P4C) csatlakozóval rendelkezik, amely kompatibilis a hagyományos telefonkészülékekkel és hálózatokkal. A csavaros bekötési mód lehetővé teszi a gyors és biztos rögzítést, minimalizálva a hibás csatlakozások kockázatát. A bliszteres csomagolásban érkező aljzat egyszerűen kibontható és azonnal telepíthető, így időt takarít meg, és garantálja a termék sértetlenségét.
Esztétika és funkcionalitás egyben
A fehér színű borítás elegáns megjelenést kölcsönöz a falnak, miközben diszkréten elrejti a bekötési pontokat. Ez különösen előnyös olyan helyeken, ahol a technikai eszközök is a dekoráció részét képezik. Az aljzat kompakt mérete segíti a helytakarékos elrendezést, így irodákban és otthonokban egyaránt praktikus választás.
Miért érdemes a Home TS 1MWH/X telefon aljzatot választani?
- 6P/4C csatlakozóval ellátott, tökéletesen kompatibilis a legtöbb telefonkészülékkel
- Egyszerű csavaros bekötés, amely gyors és biztos rögzítést tesz lehetővé
- Bliszteres csomagolás, ami garantálja a termék sértetlenségét
- Esztétikus fehér borítás, amely minden környezethez illik
Ne hagyja, hogy a rendezetlen kábelek elrontsák otthona vagy irodája megjelenését! Válassza a Home TS 1MWH/X telefon fali aljzatot, és élvezze a rendezett, letisztult telefonhálózat előnyeit!</t>
        </is>
      </c>
    </row>
    <row r="1707">
      <c r="A1707" s="3" t="inlineStr">
        <is>
          <t>TS 15/WH</t>
        </is>
      </c>
      <c r="B1707" s="2" t="inlineStr">
        <is>
          <t>Home TS 15/WH toldó telefonvezetékhez, 6P/4C, aljzat -aljzat, fehér</t>
        </is>
      </c>
      <c r="C1707" s="1" t="n">
        <v>289.0</v>
      </c>
      <c r="D1707" s="7" t="n">
        <f>HYPERLINK("https://www.somogyi.hu/product/home-ts-15-wh-toldo-telefonvezetekhez-6p-4c-aljzat-aljzat-feher-ts-15-wh-2902","https://www.somogyi.hu/product/home-ts-15-wh-toldo-telefonvezetekhez-6p-4c-aljzat-aljzat-feher-ts-15-wh-2902")</f>
        <v>0.0</v>
      </c>
      <c r="E1707" s="7" t="n">
        <f>HYPERLINK("https://www.somogyi.hu/data/img/product_main_images/small/02902.jpg","https://www.somogyi.hu/data/img/product_main_images/small/02902.jpg")</f>
        <v>0.0</v>
      </c>
      <c r="F1707" s="2" t="inlineStr">
        <is>
          <t>5998312732267</t>
        </is>
      </c>
      <c r="G1707" s="4" t="inlineStr">
        <is>
          <t>A TS 15/ WH egy rendkívül praktikus fehér színű telefontoldó, amely 2 db aljzatból áll. Használható a 6P/4C típusú dugókhoz. Válassza a minőségi termékeket és rendeljen webáruházunkból.</t>
        </is>
      </c>
    </row>
    <row r="1708">
      <c r="A1708" s="3" t="inlineStr">
        <is>
          <t>TS 51</t>
        </is>
      </c>
      <c r="B1708" s="2" t="inlineStr">
        <is>
          <t>Home TS 51 moduláris dugó, 8P/8C (RJ 45), préselhető</t>
        </is>
      </c>
      <c r="C1708" s="1" t="n">
        <v>79.0</v>
      </c>
      <c r="D1708" s="7" t="n">
        <f>HYPERLINK("https://www.somogyi.hu/product/home-ts-51-modularis-dugo-8p-8c-rj-45-preselheto-ts-51-4709","https://www.somogyi.hu/product/home-ts-51-modularis-dugo-8p-8c-rj-45-preselheto-ts-51-4709")</f>
        <v>0.0</v>
      </c>
      <c r="E1708" s="7" t="n">
        <f>HYPERLINK("https://www.somogyi.hu/data/img/product_main_images/small/04709.jpg","https://www.somogyi.hu/data/img/product_main_images/small/04709.jpg")</f>
        <v>0.0</v>
      </c>
      <c r="F1708" s="2" t="inlineStr">
        <is>
          <t>5998312741542</t>
        </is>
      </c>
      <c r="G1708" s="4" t="inlineStr">
        <is>
          <t>A TS 51 egy préselhető típusú telefondugó [8P/8C (RJ 45)]. A termék külön ajánlott az ISDN és számítógép-hálózat rendszerekhez. Válassza a minőségi termékeket és rendeljen webáruházunkból.</t>
        </is>
      </c>
    </row>
    <row r="1709">
      <c r="A1709" s="3" t="inlineStr">
        <is>
          <t>TS 17-2</t>
        </is>
      </c>
      <c r="B1709" s="2" t="inlineStr">
        <is>
          <t>Home TS 17-2 elosztó telefonvezetékhez, 6P/4C, 1 aljzat - 2 aljzat, fehér</t>
        </is>
      </c>
      <c r="C1709" s="1" t="n">
        <v>399.0</v>
      </c>
      <c r="D1709" s="7" t="n">
        <f>HYPERLINK("https://www.somogyi.hu/product/home-ts-17-2-eloszto-telefonvezetekhez-6p-4c-1-aljzat-2-aljzat-feher-ts-17-2-5232","https://www.somogyi.hu/product/home-ts-17-2-eloszto-telefonvezetekhez-6p-4c-1-aljzat-2-aljzat-feher-ts-17-2-5232")</f>
        <v>0.0</v>
      </c>
      <c r="E1709" s="7" t="n">
        <f>HYPERLINK("https://www.somogyi.hu/data/img/product_main_images/small/05232.jpg","https://www.somogyi.hu/data/img/product_main_images/small/05232.jpg")</f>
        <v>0.0</v>
      </c>
      <c r="F1709" s="2" t="inlineStr">
        <is>
          <t>5998312746196</t>
        </is>
      </c>
      <c r="G1709" s="4" t="inlineStr">
        <is>
          <t>A TS 17-2 egy praktikus kialakítású fehér színű telefonelosztó, amely 1 db aljzattal és plusz 2 db aljzattal rendelkezik. A 6P/4C típusú dugók csatlakoztatására alkalmas. Válassza a minőségi termékeket és rendeljen webáruházunkból.</t>
        </is>
      </c>
    </row>
    <row r="1710">
      <c r="A1710" s="3" t="inlineStr">
        <is>
          <t>TS 17-2X</t>
        </is>
      </c>
      <c r="B1710" s="2" t="inlineStr">
        <is>
          <t>Home TS 17-2X elosztó telefonvezetékhez, 6P4C, 1 aljzat-2 aljzat</t>
        </is>
      </c>
      <c r="C1710" s="1" t="n">
        <v>509.0</v>
      </c>
      <c r="D1710" s="7" t="n">
        <f>HYPERLINK("https://www.somogyi.hu/product/home-ts-17-2x-eloszto-telefonvezetekhez-6p4c-1-aljzat-2-aljzat-ts-17-2x-5459","https://www.somogyi.hu/product/home-ts-17-2x-eloszto-telefonvezetekhez-6p4c-1-aljzat-2-aljzat-ts-17-2x-5459")</f>
        <v>0.0</v>
      </c>
      <c r="E1710" s="7" t="n">
        <f>HYPERLINK("https://www.somogyi.hu/data/img/product_main_images/small/05459.jpg","https://www.somogyi.hu/data/img/product_main_images/small/05459.jpg")</f>
        <v>0.0</v>
      </c>
      <c r="F1710" s="2" t="inlineStr">
        <is>
          <t>5998312748329</t>
        </is>
      </c>
      <c r="G1710" s="4" t="inlineStr">
        <is>
          <t>Hogyan oszthatja meg egyszerűen egy telefonvonal jelét több készülék között? 
A Home TS 17-2X elosztó telefonvezetékhez kiváló megoldást kínál, ha egyetlen telefonvonal jelét két különböző készülékhez szeretné csatlakoztatni. Ez a praktikus elosztó egy 6P4C csatlakozóval 
rendelkező aljzatból és két kimeneti aljzatból áll, így lehetővé teszi a telefonvonal megosztását több eszköz számára anélkül, hogy külön vezetékezésre lenne szükség.
Praktikus kialakítás és megbízható csatlakozás
A Home TS 17-2X elosztó egy bemeneti és két kimeneti aljzatot tartalmaz, amelyek mindegyike 6 pólusú, 4 érintkezős (6P4C) csatlakozóval van ellátva. Ez biztosítja a stabil kapcsolatot, amely szükséges a zökkenőmentes kommunikációhoz. A fehér színű, egyszerű és letisztult kialakítás bármilyen környezetbe jól illeszkedik, legyen szó irodáról vagy otthoni használatról.
Könnyű használat és biztonságos csatlakoztatás
Az elosztó bliszteres csomagolásban érkezik, amely megvédi a szállítás során, és biztosítja, hogy a termék sértetlenül jusson el Önhöz. Használata rendkívül egyszerű: csupán csatlakoztatni kell a bemeneti aljzatot a telefonvonalhoz, majd a két kimeneti aljzatba a kívánt készülékeket. Nincs szükség külön szerszámokra vagy bonyolult telepítési folyamatra.
Miért érdemes a Home TS 17-2X elosztót választani?
- Lehetővé teszi egy telefonvonal jelének megosztását két különböző készülék között
- 6P4C csatlakozóval rendelkezik, amely biztosítja a stabil kapcsolatot
- Egyszerű, letisztult kialakítása bármilyen környezetben jól mutat
- Bliszteres csomagolás védi a terméket a szállítás során
- Könnyen telepíthető, szerszámok nélkül is gyorsan használatba vehető
Ne vesztegesse idejét külön kábelek keresgélésére! A Home TS 17-2X elosztó telefonvezetékhez segítségével egyszerűen és gyorsan megoszthatja telefonvonalát, így minden készüléke zökkenőmentesen csatlakoztatható. Ideális választás otthonra és irodába egyaránt!</t>
        </is>
      </c>
    </row>
    <row r="1711">
      <c r="A1711" s="3" t="inlineStr">
        <is>
          <t>TS 1M/WH</t>
        </is>
      </c>
      <c r="B1711" s="2" t="inlineStr">
        <is>
          <t>Home TS 1M/WH telefon fali aljzat, 6P/4C, öntapadós, csavarozható, fehér</t>
        </is>
      </c>
      <c r="C1711" s="1" t="n">
        <v>909.0</v>
      </c>
      <c r="D1711" s="7" t="n">
        <f>HYPERLINK("https://www.somogyi.hu/product/home-ts-1m-wh-telefon-fali-aljzat-6p-4c-ontapados-csavarozhato-feher-ts-1m-wh-2911","https://www.somogyi.hu/product/home-ts-1m-wh-telefon-fali-aljzat-6p-4c-ontapados-csavarozhato-feher-ts-1m-wh-2911")</f>
        <v>0.0</v>
      </c>
      <c r="E1711" s="7" t="n">
        <f>HYPERLINK("https://www.somogyi.hu/data/img/product_main_images/small/02911.jpg","https://www.somogyi.hu/data/img/product_main_images/small/02911.jpg")</f>
        <v>0.0</v>
      </c>
      <c r="F1711" s="2" t="inlineStr">
        <is>
          <t>5998312732359</t>
        </is>
      </c>
      <c r="G1711" s="4" t="inlineStr">
        <is>
          <t>A TS 1M/WH egy praktikus kialakítású fehér színű telefon fali aljzat. A termék a 6P/4C típusú dugó csatlakoztatására alkalmas. A fali aljzat öntapadós, illetve csavarozható kivitelben kapható. Válassza a minőségi termékeket és rendeljen webáruházunkból.</t>
        </is>
      </c>
    </row>
    <row r="1712">
      <c r="A1712" s="3" t="inlineStr">
        <is>
          <t>TS 15WH/X</t>
        </is>
      </c>
      <c r="B1712" s="2" t="inlineStr">
        <is>
          <t>Home TS 15WH/X toldó telefonvezetékhez, 6P4C, aljzat-aljzat</t>
        </is>
      </c>
      <c r="C1712" s="1" t="n">
        <v>379.0</v>
      </c>
      <c r="D1712" s="7" t="n">
        <f>HYPERLINK("https://www.somogyi.hu/product/home-ts-15wh-x-toldo-telefonvezetekhez-6p4c-aljzat-aljzat-ts-15wh-x-2935","https://www.somogyi.hu/product/home-ts-15wh-x-toldo-telefonvezetekhez-6p4c-aljzat-aljzat-ts-15wh-x-2935")</f>
        <v>0.0</v>
      </c>
      <c r="E1712" s="7" t="n">
        <f>HYPERLINK("https://www.somogyi.hu/data/img/product_main_images/small/02935.jpg","https://www.somogyi.hu/data/img/product_main_images/small/02935.jpg")</f>
        <v>0.0</v>
      </c>
      <c r="F1712" s="2" t="inlineStr">
        <is>
          <t>5998312732595</t>
        </is>
      </c>
      <c r="G1712" s="4" t="inlineStr">
        <is>
          <t>Home TS 15WH/X toldó telefonvezetékhez, 6P4C, aljzat-aljzat – Hatékony megoldás a telefonvezetékek toldására!
Szüksége van egy megbízható megoldásra, amely lehetővé teszi a telefonvezetékek gyors és biztonságos összekapcsolását? A Home TS 15WH/X toldó telefonvezetékekhez tökéletes választás, ha két vezeték hosszabbítására vagy különböző telefonvonalak összekötésére van szüksége. Kiváló minőségű, 6P4C szabványú kialakítása biztosítja a stabil kapcsolatot és a zavartalan kommunikációt.
Miért érdemes a Home TS 15WH/X toldót választani?
- Egyszerű és gyors csatlakoztatás A 6P4C szabványú aljzat-aljzat csatlakozó kialakítás lehetővé teszi a telefonkábelek pillanatok alatti összekötését, anélkül hogy bonyolult műveletekre lenne szükség.
- Univerzális kompatibilitás A toldó szinte minden szabványos telefonkábelhez használható, legyen szó telefonkészülékek, faxok vagy internetkapcsolatra használt vezetékek összekötéséről.
- Tartós és esztétikus kivitel Fehér színű, strapabíró műanyag háza nemcsak esztétikus megjelenést biztosít, hanem hosszú élettartamot is garantál. Ellenáll a mindennapi használat során fellépő kopásnak és sérüléseknek.
- Kompakt méret Kis méretének köszönhetően könnyen elrejthető a kábelek között, így nem zavarja a környezet esztétikáját.
- Blisztercsomagolás A termék praktikus bliszteres csomagolásban érkezik, amely megvédi a szállítás során, és biztosítja, hogy hibátlan állapotban kapja kézhez.
Főbb jellemzők:
- Funkció: Toldó telefonvezetékhez
- Csatlakozó típus: Aljzat / aljzat
- Pólus / kontaktus: 6P / 4C
- Szín: Fehér
- Csomagolás: Bliszterben
A Home TS 15WH/X telefonvezeték toldó tökéletes megoldás minden olyan helyzetre, amikor gyorsan és hatékonyan kell megnövelni a kábelek hosszát. Akár otthon, akár irodai környezetben van szükség a használatára, ez a termék megbízhatóan szolgálja ki az igényeket. Válassza a kényelmes és biztonságos csatlakoztatás lehetőségét!</t>
        </is>
      </c>
    </row>
    <row r="1713">
      <c r="A1713" s="3" t="inlineStr">
        <is>
          <t>TS 51PRO</t>
        </is>
      </c>
      <c r="B1713" s="2" t="inlineStr">
        <is>
          <t>Home TS 51PRO átmenő dugó, 8P/8C (RJ 45), nyitott front, gyors szerelhetőség</t>
        </is>
      </c>
      <c r="C1713" s="1" t="n">
        <v>89.0</v>
      </c>
      <c r="D1713" s="7" t="n">
        <f>HYPERLINK("https://www.somogyi.hu/product/home-ts-51pro-atmeno-dugo-8p-8c-rj-45-nyitott-front-gyors-szerelhetoseg-ts-51pro-17857","https://www.somogyi.hu/product/home-ts-51pro-atmeno-dugo-8p-8c-rj-45-nyitott-front-gyors-szerelhetoseg-ts-51pro-17857")</f>
        <v>0.0</v>
      </c>
      <c r="E1713" s="7" t="n">
        <f>HYPERLINK("https://www.somogyi.hu/data/img/product_main_images/small/17857.jpg","https://www.somogyi.hu/data/img/product_main_images/small/17857.jpg")</f>
        <v>0.0</v>
      </c>
      <c r="F1713" s="2" t="inlineStr">
        <is>
          <t>5999084958794</t>
        </is>
      </c>
      <c r="G1713" s="4" t="inlineStr">
        <is>
          <t>Hogyan teheti gyorsabbá és hibamentesebbé a hálózati kábelek csatlakoztatását? A Home TS 51PRO átmenő dugó egy innovatív megoldás, amely megkönnyíti az Ethernet kábelek bekötését, és garantálja a megbízható csatlakozást. A nyitott frontoldali kialakítás lehetővé teszi a vezetékek átvezetését, ezáltal pontosan ellenőrizhető a sorrend, mielőtt a sajtolás megtörténne. Ezzel nemcsak a munka válik gyorsabbá, hanem a hibák száma is jelentősen csökkenthető, ami különösen nagyobb rendszerek telepítésekor előnyös.
Hatékony kialakítás és egyszerű szerelés
A Home TS 51PRO dugó 8P/8C (RJ 45) típusú csatlakozót használ, amely tökéletesen kompatibilis az Ethernet szabványos hálózati kábeleivel. A nyitott frontoldal révén a vezetékek sorrendje egyszerűen ellenőrizhető, így elkerülhetők az újraszerelésből adódó időveszteségek. Hagyományos sajtoló fogóval is könnyedén használható, így nincs szükség speciális szerszámokra, ami gazdaságosabbá és praktikusabbá teszi a telepítést.
Precíz kapcsolat és hosszú távú megbízhatóság
A dugó kiváló minőségű anyagból készült, amely biztosítja a tartós használatot, valamint az optimális adatátvitelt. Az átlátható és könnyen kezelhető kialakítás segíti a pontos szerelést, így garantált a stabil kapcsolat és a zavartalan adatforgalom. Ideális választás otthoni hálózatok kiépítéséhez, irodai rendszerekhez vagy professzionális telepítési munkákhoz.
Miért érdemes a Home TS 51PRO átmenő dugót választani?
- Nyitott frontoldalú kialakítás, amely gyorsabb munkát és kevesebb hibalehetőséget biztosít
- 8P/8C (RJ 45) csatlakozó, amely kompatibilis az Ethernet hálózatokkal
- Hagyományos sajtoló fogókkal is szerelhető, így nincs szükség különleges eszközökre
- Megbízható kapcsolat és precíz bekötés minden használat során
Ne hagyja, hogy a hálózati kábelezés nehézkessé váljon! Válassza a Home TS 51PRO átmenő dugót, és élvezze a gyors, pontos és hibamentes telepítés előnyeit!</t>
        </is>
      </c>
    </row>
    <row r="1714">
      <c r="A1714" s="3" t="inlineStr">
        <is>
          <t>TS 13</t>
        </is>
      </c>
      <c r="B1714" s="2" t="inlineStr">
        <is>
          <t>Home TS 13 telefondugó, 6P/4C (RJ 11), préselhető</t>
        </is>
      </c>
      <c r="C1714" s="1" t="n">
        <v>33.0</v>
      </c>
      <c r="D1714" s="7" t="n">
        <f>HYPERLINK("https://www.somogyi.hu/product/home-ts-13-telefondugo-6p-4c-rj-11-preselheto-ts-13-1930","https://www.somogyi.hu/product/home-ts-13-telefondugo-6p-4c-rj-11-preselheto-ts-13-1930")</f>
        <v>0.0</v>
      </c>
      <c r="E1714" s="7" t="n">
        <f>HYPERLINK("https://www.somogyi.hu/data/img/product_main_images/small/01930.jpg","https://www.somogyi.hu/data/img/product_main_images/small/01930.jpg")</f>
        <v>0.0</v>
      </c>
      <c r="F1714" s="2" t="inlineStr">
        <is>
          <t>5998312705339</t>
        </is>
      </c>
      <c r="G1714" s="4" t="inlineStr">
        <is>
          <t>A TS 13 egy préselhető típusú telefondugó [6P/4C (RJ 11)]. Válassza a minőségi termékeket és rendeljen webáruházunkból.</t>
        </is>
      </c>
    </row>
    <row r="1715">
      <c r="A1715" s="3" t="inlineStr">
        <is>
          <t>TT 1-1</t>
        </is>
      </c>
      <c r="B1715" s="2" t="inlineStr">
        <is>
          <t>Home TT 1-1 toldó telefonvezetékhez, 8P/8C, aljzat - aljzat, fehér</t>
        </is>
      </c>
      <c r="C1715" s="1" t="n">
        <v>529.0</v>
      </c>
      <c r="D1715" s="7" t="n">
        <f>HYPERLINK("https://www.somogyi.hu/product/home-tt-1-1-toldo-telefonvezetekhez-8p-8c-aljzat-aljzat-feher-tt-1-1-5234","https://www.somogyi.hu/product/home-tt-1-1-toldo-telefonvezetekhez-8p-8c-aljzat-aljzat-feher-tt-1-1-5234")</f>
        <v>0.0</v>
      </c>
      <c r="E1715" s="7" t="n">
        <f>HYPERLINK("https://www.somogyi.hu/data/img/product_main_images/small/05234.jpg","https://www.somogyi.hu/data/img/product_main_images/small/05234.jpg")</f>
        <v>0.0</v>
      </c>
      <c r="F1715" s="2" t="inlineStr">
        <is>
          <t>5998312746219</t>
        </is>
      </c>
      <c r="G1715" s="4" t="inlineStr">
        <is>
          <t>A TT 1-1 egy rendkívül praktikus fehér színű telefontoldó, amely 2 db aljzatból áll. Használható a 8P/8C típusú dugókhoz. Válassza a minőségi termékeket és rendeljen webáruházunkból.</t>
        </is>
      </c>
    </row>
    <row r="1716">
      <c r="A1716" s="3" t="inlineStr">
        <is>
          <t>TS 13X</t>
        </is>
      </c>
      <c r="B1716" s="2" t="inlineStr">
        <is>
          <t>Home TS 13X telefondugó, 6P4C, RJ11</t>
        </is>
      </c>
      <c r="C1716" s="1" t="n">
        <v>269.0</v>
      </c>
      <c r="D1716" s="7" t="n">
        <f>HYPERLINK("https://www.somogyi.hu/product/home-ts-13x-telefondugo-6p4c-rj11-ts-13x-2281","https://www.somogyi.hu/product/home-ts-13x-telefondugo-6p4c-rj11-ts-13x-2281")</f>
        <v>0.0</v>
      </c>
      <c r="E1716" s="7" t="n">
        <f>HYPERLINK("https://www.somogyi.hu/data/img/product_main_images/small/02281.jpg","https://www.somogyi.hu/data/img/product_main_images/small/02281.jpg")</f>
        <v>0.0</v>
      </c>
      <c r="F1716" s="2" t="inlineStr">
        <is>
          <t>5998312725474</t>
        </is>
      </c>
      <c r="G1716" s="4" t="inlineStr">
        <is>
          <t>Gondot okoz az elhasználódott telefoncsatlakozó cseréje? A Home TS 13X telefondugóval könnyedén megoldhatja a problémát, legyen szó telefonkészülékek, faxok vagy más vezetékes kommunikációs eszközök csatlakoztatásáról. Ez a kiváló minőségű, 6P4C szabványú RJ11 dugó stabil és tiszta kapcsolatot biztosít minden alkalommal.
Miért érdemes a Home TS 13X telefondugót választani?
- Egyszerű csatlakoztatás: Préselhető kivitelének köszönhetően a telefondugó gyorsan és könnyen felszerelhető, így a szerelési folyamat időtakarékos és problémamentes lesz.
- Megbízható csatlakozás: A 6P4C (6 pólus, 4 érintkezős) kialakítás tökéletesen illeszkedik a legtöbb hagyományos telefonvonalhoz, biztosítva a zavartalan hangátvitelt és adatkommunikációt.
- Tartós anyaghasználat: Minőségi műanyagból készült, amely ellenáll a mindennapos használat során fellépő kopásnak és sérüléseknek, így hosszú élettartamot garantál.
- Univerzális kompatibilitás: RJ11 típusú dugóként széles körben használható különböző telefonhálózati eszközökkel, beleértve az analóg telefonkészülékeket és faxokat.
- Blisztercsomagolás: A praktikus bliszteres kiszerelés biztosítja, hogy a termék sérülésmentesen érkezzen meg, valamint megkönnyíti a tárolást.
Főbb jellemzők:
- Csatlakozó típusa: RJ11, 6P4C (6 pólus, 4 kontaktus)
- Funkció: Telefoncsatlakozó
- Bekötés: Préselhető kivitel
- Csomagolás: Bliszterben
A Home TS 13X telefondugó ideális választás mindazoknak, akik stabil, tiszta és megbízható telefonkapcsolatot szeretnének elérni otthonukban vagy irodájukban. Egyszerű használhatósága és időtálló kivitele garantálja, hogy hosszú távon is elégedett lesz a teljesítményével. Ha egy könnyen telepíthető, precíz csatlakozót keres, ez a termék ideális megoldást nyújt!</t>
        </is>
      </c>
    </row>
    <row r="1717">
      <c r="A1717" s="6" t="inlineStr">
        <is>
          <t xml:space="preserve">   Audio-video kiegészítők / Érvéghüvely</t>
        </is>
      </c>
      <c r="B1717" s="6" t="inlineStr">
        <is>
          <t/>
        </is>
      </c>
      <c r="C1717" s="6" t="inlineStr">
        <is>
          <t/>
        </is>
      </c>
      <c r="D1717" s="6" t="inlineStr">
        <is>
          <t/>
        </is>
      </c>
      <c r="E1717" s="6" t="inlineStr">
        <is>
          <t/>
        </is>
      </c>
      <c r="F1717" s="6" t="inlineStr">
        <is>
          <t/>
        </is>
      </c>
      <c r="G1717" s="6" t="inlineStr">
        <is>
          <t/>
        </is>
      </c>
    </row>
    <row r="1718">
      <c r="A1718" s="3" t="inlineStr">
        <is>
          <t>EVHSET</t>
        </is>
      </c>
      <c r="B1718" s="2" t="inlineStr">
        <is>
          <t>Home EVHSET érvéghüvely szett, szigetelt érvéghüvely készlet, 1200 db, tároló doboz</t>
        </is>
      </c>
      <c r="C1718" s="1" t="n">
        <v>5490.0</v>
      </c>
      <c r="D1718" s="7" t="n">
        <f>HYPERLINK("https://www.somogyi.hu/product/home-evhset-erveghuvely-szett-szigetelt-erveghuvely-keszlet-1200-db-tarolo-doboz-evhset-18714","https://www.somogyi.hu/product/home-evhset-erveghuvely-szett-szigetelt-erveghuvely-keszlet-1200-db-tarolo-doboz-evhset-18714")</f>
        <v>0.0</v>
      </c>
      <c r="E1718" s="7" t="n">
        <f>HYPERLINK("https://www.somogyi.hu/data/img/product_main_images/small/18714.jpg","https://www.somogyi.hu/data/img/product_main_images/small/18714.jpg")</f>
        <v>0.0</v>
      </c>
      <c r="F1718" s="2" t="inlineStr">
        <is>
          <t>5999084967321</t>
        </is>
      </c>
      <c r="G1718" s="4" t="inlineStr">
        <is>
          <t>Hogyan teheti gyorsabbá és egyszerűbbé az elektromos csatlakozások kivitelezését?  A Home EVHSET érvéghüvely szett egy professzionális, 1200 darabos szigetelt érvéghüvely készlet, amely különböző méretekben biztosítja a precíziós munkákhoz szükséges elemeket. Az átlátható tárolódoboz lehetővé teszi, hogy mindig könnyedén hozzáférjen a szükséges méretű hüvelyhez, miközben rendezett és praktikus tárolást biztosít.
Sokoldalú felhasználhatóság különböző méretű vezetékekhez.  A szett hét különböző méretű érvéghüvelyt tartalmaz, így 0,5 mm²-től 6,0 mm²-ig lefedi a leggyakrabban használt vezetékek csatlakoztatási igényeit. A darabszámok úgy kerültek összeállításra, hogy a leggyakoribb méretekből (1 mm², 1,5 mm² és 2,5 mm²) nagyobb mennyiség álljon rendelkezésre, biztosítva a hosszabb távú munkavégzést is. Ez a változatosság lehetővé teszi, hogy a készletet széles körben használja, akár otthoni, akár ipari környezetben.
Minőségi kivitel a megbízható csatlakozások érdekében . A szigetelt érvéghüvelyek kiváló minőségű anyagból készültek, amely biztosítja a szoros illeszkedést és a vezetékek megbízható rögzítését. A szigetelés megakadályozza a vezeték sérülését, miközben biztosítja a biztonságos csatlakozásokat, minimalizálva az elektromos veszteséget és a hibalehetőségeket. Az érvéghüvelyek használata ideális választás elektromos szerelési munkákhoz, hiszen professzionális és tartós eredményt garantál.
Praktikus tárolódoboz az egyszerű használatért A készlet átlátható tárolódoboza segít rendet tartani, és megkönnyíti az érvéghüvelyek gyors kiválasztását. A külön rekeszekben elhelyezett méretek egyértelmű jelölése biztosítja, hogy mindig pontosan tudja, melyik méretet választja, így jelentős időt takaríthat meg a munkafolyamat során.
Ajánlott szerszámok a tökéletes illeszkedésért.  A Home EVHSET készlet használatához a Home EVHF6 önbeálló érvéghüvely préselő fogó javasolt, amely garantálja a gyors és precíz csatlakozást minden méretű hüvely esetében. Az EVHF6 préselő fogóval a hüvelyek biztonságosan és pontosan rögzíthetők a vezetékekhez, így a legjobb eredményt érheti el.
Méretek és darabszámok a készletben
* 0,5 mm²: 200 db.
* 0,75 mm²: 200 db.
* 1 mm²: 200 db.
* 1,5 mm²: 250 db.
* 2,5 mm²: 250 db.
* 4 mm²: 50 db.
* 6 mm²: 50 db.
Miért válassza a Home EVHSET érvéghüvely szettet?
 – Különböző méretek széles választéka a rugalmas felhasználás érdekében.
 – Szigetelt kivitel a vezetékek sérülésének elkerülése és a biztonságos csatlakozások érdekében. 
– Praktikus tárolódoboz az átláthatóság és gyors hozzáférés érdekében. 
– Kompatibilis a Home EVHF6 önbeálló érvéghüvely préselő fogóval. 
– Ideális választás elektromos szerelési munkákhoz otthoni és ipari felhasználásra egyaránt.
Hozzon létre megbízható és tartós csatlakozásokat a Home EVHSET érvéghüvely szett segítségével! Tegye hatékonyabbá és könnyebbé munkáját ezzel a professzionális készlettel. Rendelje meg még ma, és élvezze a precíz munkavégzés előnyeit!</t>
        </is>
      </c>
    </row>
    <row r="1719">
      <c r="A1719" s="6" t="inlineStr">
        <is>
          <t xml:space="preserve">   Mérés, szerszám, forrasztás / Multiméter</t>
        </is>
      </c>
      <c r="B1719" s="6" t="inlineStr">
        <is>
          <t/>
        </is>
      </c>
      <c r="C1719" s="6" t="inlineStr">
        <is>
          <t/>
        </is>
      </c>
      <c r="D1719" s="6" t="inlineStr">
        <is>
          <t/>
        </is>
      </c>
      <c r="E1719" s="6" t="inlineStr">
        <is>
          <t/>
        </is>
      </c>
      <c r="F1719" s="6" t="inlineStr">
        <is>
          <t/>
        </is>
      </c>
      <c r="G1719" s="6" t="inlineStr">
        <is>
          <t/>
        </is>
      </c>
    </row>
    <row r="1720">
      <c r="A1720" s="3" t="inlineStr">
        <is>
          <t>VC 830L</t>
        </is>
      </c>
      <c r="B1720" s="2" t="inlineStr">
        <is>
          <t>Home VC 830L digitális multiméter, egyenfeszültség, váltófeszültség, egyenáram, ellenállás mérése, mért érték rögzítés</t>
        </is>
      </c>
      <c r="C1720" s="1" t="n">
        <v>5990.0</v>
      </c>
      <c r="D1720" s="7" t="n">
        <f>HYPERLINK("https://www.somogyi.hu/product/home-vc-830l-digitalis-multimeter-egyenfeszultseg-valtofeszultseg-egyenaram-ellenallas-merese-mert-ertek-rogzites-vc-830l-13767","https://www.somogyi.hu/product/home-vc-830l-digitalis-multimeter-egyenfeszultseg-valtofeszultseg-egyenaram-ellenallas-merese-mert-ertek-rogzites-vc-830l-13767")</f>
        <v>0.0</v>
      </c>
      <c r="E1720" s="7" t="n">
        <f>HYPERLINK("https://www.somogyi.hu/data/img/product_main_images/small/13767.jpg","https://www.somogyi.hu/data/img/product_main_images/small/13767.jpg")</f>
        <v>0.0</v>
      </c>
      <c r="F1720" s="2" t="inlineStr">
        <is>
          <t>5999084918194</t>
        </is>
      </c>
      <c r="G1720" s="4" t="inlineStr">
        <is>
          <t>Önnek is fontos, hogy pontos méréseket végezzen? A Home VC 830L digitális multiméter az Ön ideális segítőtársa lehet, amikor az egyenfeszültség, váltófeszültség, egyenáram, valamint az ellenállás méréséről van szó. Kompakt kialakítása és a könnyen olvasható kijelző, mely háttérvilágítással rendelkezik, biztosítja, hogy bármilyen környezetben kényelmesen használható legyen.
A műszer funkciói között szerepel a mérési értékek rögzítése is, ami lehetővé teszi az adatok későbbi elemzését vagy összehasonlítását. A csomag tartozékai között megtalálható a szükséges mérőzsinór.
Fedezze fel a Home VC 830L digitális multiméter nyújtotta precizitást és megbízhatóságot, amely minden otthoni műhely vagy professzionális felhasználás alapvető eszköze lehet. Ne hagyja, hogy a pontatlanságok megzavarják a munkáját; válassza a minőséget és a precizitást, amit ez a készülék kínál!</t>
        </is>
      </c>
    </row>
    <row r="1721">
      <c r="A1721" s="3" t="inlineStr">
        <is>
          <t>M 266AC</t>
        </is>
      </c>
      <c r="B1721" s="2" t="inlineStr">
        <is>
          <t>Home M 266AC AC lakatfogó, egyenfeszültség, váltófeszültség, váltóáram, ellenállás mérése</t>
        </is>
      </c>
      <c r="C1721" s="1" t="n">
        <v>11790.0</v>
      </c>
      <c r="D1721" s="7" t="n">
        <f>HYPERLINK("https://www.somogyi.hu/product/home-m-266ac-ac-lakatfogo-egyenfeszultseg-valtofeszultseg-valtoaram-ellenallas-merese-m-266ac-16381","https://www.somogyi.hu/product/home-m-266ac-ac-lakatfogo-egyenfeszultseg-valtofeszultseg-valtoaram-ellenallas-merese-m-266ac-16381")</f>
        <v>0.0</v>
      </c>
      <c r="E1721" s="7" t="n">
        <f>HYPERLINK("https://www.somogyi.hu/data/img/product_main_images/small/16381.jpg","https://www.somogyi.hu/data/img/product_main_images/small/16381.jpg")</f>
        <v>0.0</v>
      </c>
      <c r="F1721" s="2" t="inlineStr">
        <is>
          <t>5999084944131</t>
        </is>
      </c>
      <c r="G1721" s="4" t="inlineStr">
        <is>
          <t>Egy sokoldalú eszközt keres, amely képes az elektromos rendszerek teljes körű ellenőrzésére otthonában vagy munkahelyén? A Home M 266AC AC lakatfogó ideális választás azok számára, akik egy kompakt, mégis hatékony mérőeszközt keresnek az elektromos paraméterek széles skálájának mérésére.
Ez a különleges lakatfogó lehetővé teszi az egyenfeszültség, váltófeszültség, váltóáram, valamint az ellenállás pontos és megbízható mérését, így egy eszközben kínál megoldást az összes alapvető elektromos mérési igényre. A műszer egy 9V (6F22 típusú) elemmel működik, amely biztosítja a hosszú távú, megbízható használatot minden mérési feladat során.
A csomag tartalmazza a szükséges mérőzsinórt, amely lehetővé teszi a lakatfogó azonnali használatát, valamint egy védőtokot, amely megkönnyíti a szállítást és védelmet nyújt a készüléknek a sérülésekkel szemben. A Home M 266AC lakatfogó tökéletes választás mindazok számára, akik egy megbízható és könnyen használható mérőeszközt keresnek elektromos rendszereik karbantartásához, hibakereséséhez vagy egyszerűen csak a mindennapi felhasználáshoz.
Válassza a Home M 266AC AC lakatfogót, és biztosítsa az elektromos mérések egyszerűségét és pontosságát minden helyzetben.</t>
        </is>
      </c>
    </row>
    <row r="1722">
      <c r="A1722" s="3" t="inlineStr">
        <is>
          <t>SMA SMART 2</t>
        </is>
      </c>
      <c r="B1722" s="2" t="inlineStr">
        <is>
          <t>Home SMA SMART 2 multiméter, intelligens SMART azonosítás és manuális funkciók, érintés nélküli feszültségvizsgáló, automatikus méréshatár váltás</t>
        </is>
      </c>
      <c r="C1722" s="1" t="n">
        <v>14490.0</v>
      </c>
      <c r="D1722" s="7" t="n">
        <f>HYPERLINK("https://www.somogyi.hu/product/home-sma-smart-2-multimeter-intelligens-smart-azonositas-es-manualis-funkciok-erintes-nelkuli-feszultsegvizsgalo-automatikus-mereshatar-valtas-sma-smart-2-18056","https://www.somogyi.hu/product/home-sma-smart-2-multimeter-intelligens-smart-azonositas-es-manualis-funkciok-erintes-nelkuli-feszultsegvizsgalo-automatikus-mereshatar-valtas-sma-smart-2-18056")</f>
        <v>0.0</v>
      </c>
      <c r="E1722" s="7" t="n">
        <f>HYPERLINK("https://www.somogyi.hu/data/img/product_main_images/small/18056.jpg","https://www.somogyi.hu/data/img/product_main_images/small/18056.jpg")</f>
        <v>0.0</v>
      </c>
      <c r="F1722" s="2" t="inlineStr">
        <is>
          <t>5999084960780</t>
        </is>
      </c>
      <c r="G1722" s="4" t="inlineStr">
        <is>
          <t>Egy megbízható eszközt keres, amely minden elektromos mérési igényét kielégíti? A Home SMA SMART 2 digitális multiméter a tökéletes választás minden hobbielektronikus és szakember számára.
Ez a multiméter egy nagyméretű, megvilágított kijelzővel rendelkezik, ami könnyű leolvasást tesz lehetővé még rossz fényviszonyok mellett is. A beépített hátsó LED elemlámpa segítségével sötét helyeken is kényelmesen dolgozhat. Az intelligens SMART azonosítás automatikusan felismeri a mérendő mennyiséget, így Önnek nem kell manuálisan váltogatnia a funkciók között, bár a manuális beállítások lehetősége továbbra is megmarad. A TRUE RMS mérés garantálja a valós effektív értékek pontos mérését, függetlenül a jelalaktól.
További előnyei közé tartozik az érintés nélküli feszültségvizsgáló, a fáziskereső funkció, az automatikus méréshatár-váltás, valamint a mérővezeték helyes csatlakoztatásának jelzése. Az automatikus kikapcsolás funkció energiát takarít meg, míg a tartozék védőtok védelmet nyújt az eszköznek.
A Home SMA SMART 2 digitális multiméter kompakt mérete (67x133x18mm) és súlya (130g) miatt könnyedén hordozható, és a 2xCR2032 elemmel működik, amelyek nem részei a csomagnak. A csomag tartalmaz mérővezetékeket és egy védőtokot is, így a gombelemek beszerzése után azonnal használatra kész.
Válassza a Home SMA SMART 2 digitális multimétert, és élvezze a mérések új, kényelmesebb világát!</t>
        </is>
      </c>
    </row>
    <row r="1723">
      <c r="A1723" s="3" t="inlineStr">
        <is>
          <t>SMA 64</t>
        </is>
      </c>
      <c r="B1723" s="2" t="inlineStr">
        <is>
          <t>Home SMA 64 digitális multiméter, egyenfeszültség, váltófeszültség, egyenáram, váltóáram, ellenállás, hőmérséklet mérése</t>
        </is>
      </c>
      <c r="C1723" s="1" t="n">
        <v>21090.0</v>
      </c>
      <c r="D1723" s="7" t="n">
        <f>HYPERLINK("https://www.somogyi.hu/product/home-sma-64-digitalis-multimeter-egyenfeszultseg-valtofeszultseg-egyenaram-valtoaram-ellenallas-homerseklet-merese-sma-64-13759","https://www.somogyi.hu/product/home-sma-64-digitalis-multimeter-egyenfeszultseg-valtofeszultseg-egyenaram-valtoaram-ellenallas-homerseklet-merese-sma-64-13759")</f>
        <v>0.0</v>
      </c>
      <c r="E1723" s="7" t="n">
        <f>HYPERLINK("https://www.somogyi.hu/data/img/product_main_images/small/13759.jpg","https://www.somogyi.hu/data/img/product_main_images/small/13759.jpg")</f>
        <v>0.0</v>
      </c>
      <c r="F1723" s="2" t="inlineStr">
        <is>
          <t>5999084918118</t>
        </is>
      </c>
      <c r="G1723" s="4" t="inlineStr">
        <is>
          <t>Kíváncsi arra, hogyan végezhet precíz méréseket otthonában vagy műhelyében egyetlen eszközzel? A Home SMA 64 digitális multiméter a tökéletes választás azok számára, akik egy sokoldalú, felhasználóbarát műszerre vágyak, amely képes egyenfeszültség, váltófeszültség, egyenáram, váltóáram, ellenállás és hőmérséklet mérésére.
Ez a kiváló minőségű digitális multiméter ideális eszköz a legkülönfélébb elektromos és elektronikai mérésekhez. A csomag tartalmaz minden szükséges tartozékot a mérési feladatok azonnali megkezdéséhez: mérőzsinórokat a különböző típusú mérésekhez, egy tranzisztorvizsgáló aljzatot az elektromos komponensek teszteléséhez, egy hőmérő szondát a környezeti vagy eszközön belüli hőmérséklet méréséhez, valamint egy 9V (6F22 típusú) elemet, amely hosszú távon biztosítja a készülék energiaellátását.
A Home SMA 64 digitális multiméter kiemelkedik könnyű használhatóságával és megbízhatóságával, így tökéletes választás mind a hobbielektronikusok, mind a professzionális technikusok számára. A készülék kompakt kialakítása és a tartozékok széles választéka lehetővé teszi, hogy minden mérési feladatot gyorsan és hatékonyan végezhessen el.
Bízza a Home SMA 64 digitális multiméterre az elektromos és hőmérsékleti méréseit, és tapasztalja meg a precizitás és megbízhatóság új szintjét.</t>
        </is>
      </c>
    </row>
    <row r="1724">
      <c r="A1724" s="3" t="inlineStr">
        <is>
          <t>SMA 2101</t>
        </is>
      </c>
      <c r="B1724" s="2" t="inlineStr">
        <is>
          <t>Home SMA 2101 AC/DC lakatfogó, egyenfeszültség, váltófeszültség, egyenáram, váltóáram, ellenállás, frekvencia mérése, tartozékok: mérőzsinór, védőtok</t>
        </is>
      </c>
      <c r="C1724" s="1" t="n">
        <v>34490.0</v>
      </c>
      <c r="D1724" s="7" t="n">
        <f>HYPERLINK("https://www.somogyi.hu/product/home-sma-2101-ac-dc-lakatfogo-egyenfeszultseg-valtofeszultseg-egyenaram-valtoaram-ellenallas-frekvencia-merese-tartozekok-merozsinor-vedotok-sma-2101-13764","https://www.somogyi.hu/product/home-sma-2101-ac-dc-lakatfogo-egyenfeszultseg-valtofeszultseg-egyenaram-valtoaram-ellenallas-frekvencia-merese-tartozekok-merozsinor-vedotok-sma-2101-13764")</f>
        <v>0.0</v>
      </c>
      <c r="E1724" s="7" t="n">
        <f>HYPERLINK("https://www.somogyi.hu/data/img/product_main_images/small/13764.jpg","https://www.somogyi.hu/data/img/product_main_images/small/13764.jpg")</f>
        <v>0.0</v>
      </c>
      <c r="F1724" s="2" t="inlineStr">
        <is>
          <t>5999084918163</t>
        </is>
      </c>
      <c r="G1724" s="4" t="inlineStr">
        <is>
          <t>Szüksége van egy sokoldalú és megbízható eszközre, amely szinte minden elektromos mérési igényét kielégíti? A Home SMA 2101 AC/DC lakatfogó a tökéletes választás azok számára, akik egy kompakt, mégis erőteljes mérőműszerre vágyak, amely képes egyenfeszültség, váltófeszültség, egyenáram, váltóáram, ellenállás és frekvencia pontos mérésére.
Ez a lakatfogó ideális eszköz az elektromos rendszerek átfogó diagnosztizálásához és karbantartásához, legyen szó otthoni vagy ipari környezetről. A csomag tartalmaz mindent, ami a munka azonnali megkezdéséhez szükséges: mérőzsinórt a pontos és biztonságos csatlakoztatáshoz, egy védőtokot a lakatfogó védelmében történő tároláshoz és szállításhoz, valamint 3x1,5V (AAA) elemet a készülék működtetéséhez.
A Home SMA 2101 lakatfogóval a mérések gyorsak és egyszerűek. A készülék ergonomikus kialakítása és könnyű kezelhetősége lehetővé teszi a hosszú munkanapok során történő kényelmes használatot is. A tartozékok és a magas minőségű mérőműszer biztosítják, hogy minden mérési feladatot precízen és hatékonyan végezhessen el.
Válassza a Home SMA 2101 AC/DC lakatfogót, és legyen felkészült minden elektromos mérési kihívásra.</t>
        </is>
      </c>
    </row>
    <row r="1725">
      <c r="A1725" s="3" t="inlineStr">
        <is>
          <t>SMA 92</t>
        </is>
      </c>
      <c r="B1725" s="2" t="inlineStr">
        <is>
          <t>Home SMA 92 digitális multiméter, egyenfeszültség, váltófeszültség, egyenáram, váltóáram, ellenállás, frekvencia mérése, automatikus méréshatárváltás</t>
        </is>
      </c>
      <c r="C1725" s="1" t="n">
        <v>10990.0</v>
      </c>
      <c r="D1725" s="7" t="n">
        <f>HYPERLINK("https://www.somogyi.hu/product/home-sma-92-digitalis-multimeter-egyenfeszultseg-valtofeszultseg-egyenaram-valtoaram-ellenallas-frekvencia-merese-automatikus-mereshatarvaltas-sma-92-13761","https://www.somogyi.hu/product/home-sma-92-digitalis-multimeter-egyenfeszultseg-valtofeszultseg-egyenaram-valtoaram-ellenallas-frekvencia-merese-automatikus-mereshatarvaltas-sma-92-13761")</f>
        <v>0.0</v>
      </c>
      <c r="E1725" s="7" t="n">
        <f>HYPERLINK("https://www.somogyi.hu/data/img/product_main_images/small/13761.jpg","https://www.somogyi.hu/data/img/product_main_images/small/13761.jpg")</f>
        <v>0.0</v>
      </c>
      <c r="F1725" s="2" t="inlineStr">
        <is>
          <t>5999084918132</t>
        </is>
      </c>
      <c r="G1725" s="4" t="inlineStr">
        <is>
          <t>Fedezze fel a Home SMA 92 digitális multimétert, amely minden mérési feladatot egyszerűvé és pontosabbá tesz! Ez a kifinomult eszköz automatikus méréshatárváltással is rendelkezik, amely lehetővé teszi az elektromos mennyiségek gyors és kényelmes mérését anélkül, hogy manuálisan kellene váltogatnia a tartományok között.
A készülék háttérvilágítású kijelzője biztosítja, hogy még rossz fényviszonyok mellett is könnyen leolvashatóak legyenek az értékek, így nincs többé fejfájás a sötétben végzett munkák miatt. A Home SMA 92 multiméter tartozéka mérőzsinórjai.
Legyen szó akár hobbielektronikai projektekről, otthoni javításokról, vagy szakmai felhasználásról, ez a multiméter megbízható társ lesz minden mérési feladatban. Válassza a Home SMA 92 digitális multimétert, és élvezze a mérések precizitását és kényelmét minden körülmények között!</t>
        </is>
      </c>
    </row>
    <row r="1726">
      <c r="A1726" s="3" t="inlineStr">
        <is>
          <t>SMA 19</t>
        </is>
      </c>
      <c r="B1726" s="2" t="inlineStr">
        <is>
          <t>Home SMA 19 digitális multiméter, automatikus méréshatárváltás, érintés nélküli fáziskeresés, háttérvilágítás, tartozék mérőzsinór</t>
        </is>
      </c>
      <c r="C1726" s="1" t="n">
        <v>19790.0</v>
      </c>
      <c r="D1726" s="7" t="n">
        <f>HYPERLINK("https://www.somogyi.hu/product/home-sma-19-digitalis-multimeter-automatikus-mereshatarvaltas-erintes-nelkuli-faziskereses-hattervilagitas-tartozek-merozsinor-sma-19-16090","https://www.somogyi.hu/product/home-sma-19-digitalis-multimeter-automatikus-mereshatarvaltas-erintes-nelkuli-faziskereses-hattervilagitas-tartozek-merozsinor-sma-19-16090")</f>
        <v>0.0</v>
      </c>
      <c r="E1726" s="7" t="n">
        <f>HYPERLINK("https://www.somogyi.hu/data/img/product_main_images/small/16090.jpg","https://www.somogyi.hu/data/img/product_main_images/small/16090.jpg")</f>
        <v>0.0</v>
      </c>
      <c r="F1726" s="2" t="inlineStr">
        <is>
          <t>5999084941222</t>
        </is>
      </c>
      <c r="G1726" s="4" t="inlineStr">
        <is>
          <t>Szeretne pontosabb méréseket végezni anélkül, hogy bonyolult beállításokkal kellene bajlódnia? A Home SMA 19 digitális multiméter az Ön számára tökéletes választás, mivel automatikus méréshatárváltással rendelkezik, ami lehetővé teszi a különböző mérési tartományok gyors és egyszerű kezelését anélkül, hogy manuálisan kellene állítania azokat.
Ez a kifinomult eszköz nem csak a hagyományos multiméter funkciókat kínálja, mint például feszültség, áram és ellenállás mérés, hanem érintés nélküli fáziskereső funkcióval is bír, amely biztonságos és gyors módja az aktív vezetékek azonosításának. A beépített háttérvilágításnak köszönhetően a kijelző könnyen olvasható még sötét vagy rosszul megvilágított munkaterületeken is, így a mérések pontosak és egyszerűen elvégezhetők minden körülmények között.
A csomag tartalmaz egy pár mérőzsinórt is, amely lehetővé teszi a készülék azonnali használatát, továbbá a tartozékok teljes körű támogatást nyújtanak a különböző mérési feladatokhoz. A Home SMA 19 digitális multiméter kompakt kialakítása és könnyű kezelhetősége miatt ideális választás mind otthoni, mind ipari elektromos munkákhoz.
Tegyen szert a Home SMA 19 digitális multiméterre, és élvezze a mérések egyszerűségét, pontosságát és biztonságát minden egyes használatkor.</t>
        </is>
      </c>
    </row>
    <row r="1727">
      <c r="A1727" s="3" t="inlineStr">
        <is>
          <t>SMA 830</t>
        </is>
      </c>
      <c r="B1727" s="2" t="inlineStr">
        <is>
          <t>Home SMA 830 digitális multiméter, gyenfeszültség, váltófeszültség, egyenáram, ellenállás mérése, tartozékok: mérőzsinór</t>
        </is>
      </c>
      <c r="C1727" s="1" t="n">
        <v>7790.0</v>
      </c>
      <c r="D1727" s="7" t="n">
        <f>HYPERLINK("https://www.somogyi.hu/product/home-sma-830-digitalis-multimeter-gyenfeszultseg-valtofeszultseg-egyenaram-ellenallas-merese-tartozekok-merozsinor-sma-830-13762","https://www.somogyi.hu/product/home-sma-830-digitalis-multimeter-gyenfeszultseg-valtofeszultseg-egyenaram-ellenallas-merese-tartozekok-merozsinor-sma-830-13762")</f>
        <v>0.0</v>
      </c>
      <c r="E1727" s="7" t="n">
        <f>HYPERLINK("https://www.somogyi.hu/data/img/product_main_images/small/13762.jpg","https://www.somogyi.hu/data/img/product_main_images/small/13762.jpg")</f>
        <v>0.0</v>
      </c>
      <c r="F1727" s="2" t="inlineStr">
        <is>
          <t>5999084918149</t>
        </is>
      </c>
      <c r="G1727" s="4" t="inlineStr">
        <is>
          <t>Keres egy megbízható eszközt, amely szinte minden elektromos mérési igényét kielégíti, legyen az otthoni vagy szakmai használatra? A Home SMA 830 digitális multiméter az Ön tökéletes társa lesz, amikor precíz egyenfeszültség, váltófeszültség, egyenáram és ellenállás mérésekre van szükség.
Ez a kiváló digitális multiméter könnyen használható és rendkívül sokoldalú, tökéletes választás az elektromos rendszerek diagnosztizálásához, karbantartásához és javításához. A csomag tartalmazza a szükséges mérőzsinórokat, amelyekkel azonnal hozzáláthat a munkához, valamint egy 9V (6F22 típusú) elemet is, amely hosszú távú energiaellátást biztosít a multiméter számára.
A Home SMA 830 kialakítása felhasználóbarát és intuitív, így még a kezdők is könnyedén elsajátíthatják a használatát. Az eszköz kompakt méretének köszönhetően könnyen hordozható, így bárhol és bármikor kéznél lehet, amikor szükség van rá. Az ellenállás és áram mérési funkciók mellett a készülék lehetővé teszi a különböző elektromos komponensek tesztelését is, biztosítva az elektromos rendszerek biztonságos és hatékony működését.
Válassza a Home SMA 830 digitális multimétert, és élvezze a precíz mérések nyújtotta biztonságot és kényelmet minden elektromos feladat során.</t>
        </is>
      </c>
    </row>
    <row r="1728">
      <c r="A1728" s="3" t="inlineStr">
        <is>
          <t>SMAIRCAM</t>
        </is>
      </c>
      <c r="B1728" s="2" t="inlineStr">
        <is>
          <t>Home SMAIRCAM hőkamera multiméter, érintőképernyő, hőfénykép készítése</t>
        </is>
      </c>
      <c r="C1728" s="1" t="n">
        <v>76190.0</v>
      </c>
      <c r="D1728" s="7" t="n">
        <f>HYPERLINK("https://www.somogyi.hu/product/home-smaircam-hokamera-multimeter-erintokepernyo-hofenykep-keszitese-smaircam-18515","https://www.somogyi.hu/product/home-smaircam-hokamera-multimeter-erintokepernyo-hofenykep-keszitese-smaircam-18515")</f>
        <v>0.0</v>
      </c>
      <c r="E1728" s="7" t="n">
        <f>HYPERLINK("https://www.somogyi.hu/data/img/product_main_images/small/18515.jpg","https://www.somogyi.hu/data/img/product_main_images/small/18515.jpg")</f>
        <v>0.0</v>
      </c>
      <c r="F1728" s="2" t="inlineStr">
        <is>
          <t>5999084965334</t>
        </is>
      </c>
      <c r="G1728" s="4" t="inlineStr">
        <is>
          <t>Szeretne egy eszközt, amellyel egyszerre végezhet hőkamerás és multiméteres méréseket? A Home SMAIRCAM hőkamera multiméter tökéletes megoldást kínál azok számára, akik mindkét funkciót egyetlen készülékben keresik. 
Ez az eszköz nagyméretű érintőképernyővel rendelkezik, amely lehetővé teszi a hőfényképek készítését és a tárgyak hőmérsékletének érintés nélküli mérését. Ez a 2 az 1-ben készülék számos felhasználási területtel rendelkezik. Segítségével könnyedén felderíthetőek az épületek hő-hídjai és a penészesedésre hajlamos részek. Az ajtók, ablakok és az épületszigetelés vizsgálata is egyszerűvé válik vele. Emellett radiátorok és fűtőtestek légtelenítésének ellenőrzésére is kiválóan alkalmas. Hagyományos és elektromos padlófűtés vizsgálatára, infra fűtőpanelek és napelemek melegedésének ellenőrzésére is használható.
A Home SMAIRCAM segítségével járművek és elektromos berendezések melegedő alkatrészei is könnyedén felderíthetőek, valamint meghibásodott elektronikai alkatrészek azonosítására is használható. Csővezeték dugulásának megkeresése és kisebb élőlények keresése is lehetséges ezzel az eszközzel. A multiméter funkciói közé tartozik az AC-DC feszültség, frekvencia, kapacitás, ellenállás, dióda és szakadás mérése. Az automatikus vagy kézi méréshatár váltás is elérhető, valamint a mért érték rögzítése és grafikonon történő megjelenítése is lehetséges. A készülék hőképeket is tud számítógépre másolni, ami nagyban megkönnyíti az adatok feldolgozását.
A Home SMAIRCAM beállítható automatikus kikapcsolással rendelkezik, és 3xAAA (1.5V) elemmel működik, amelyek nem tartozékai a csomagnak. A termék tartozékai közé tartoznak a mérővezetékek és az USB-C csatlakozókábel. A készülék méretei 69x134x25 mm, tömege pedig 130 g.
Tegye egyszerűbbé és hatékonyabbá mindennapi méréseit ezzel a sokoldalú hőkamera multiméterrel! Vásároljon most, és élvezze a praktikus funkciók előnyeit minden mérési feladat során!</t>
        </is>
      </c>
    </row>
    <row r="1729">
      <c r="A1729" s="3" t="inlineStr">
        <is>
          <t>SMATESTER</t>
        </is>
      </c>
      <c r="B1729" s="2" t="inlineStr">
        <is>
          <t>Home SMATESTER konnektor teszter, LED visszajelzők, Voltmérő, L-N, N-E, RCD mA, Fi és RCD relé ellenőrző, elem nélkül működik, max. 250 V~ aljzatokhoz</t>
        </is>
      </c>
      <c r="C1729" s="1" t="n">
        <v>7290.0</v>
      </c>
      <c r="D1729" s="7" t="n">
        <f>HYPERLINK("https://www.somogyi.hu/product/home-smatester-konnektor-teszter-led-visszajelzok-voltmero-l-n-n-e-rcd-ma-fi-es-rcd-rele-ellenorzo-elem-nelkul-mukodik-max-250-v-aljzatokhoz-smatester-18404","https://www.somogyi.hu/product/home-smatester-konnektor-teszter-led-visszajelzok-voltmero-l-n-n-e-rcd-ma-fi-es-rcd-rele-ellenorzo-elem-nelkul-mukodik-max-250-v-aljzatokhoz-smatester-18404")</f>
        <v>0.0</v>
      </c>
      <c r="E1729" s="7" t="n">
        <f>HYPERLINK("https://www.somogyi.hu/data/img/product_main_images/small/18404.jpg","https://www.somogyi.hu/data/img/product_main_images/small/18404.jpg")</f>
        <v>0.0</v>
      </c>
      <c r="F1729" s="2" t="inlineStr">
        <is>
          <t>5999084964221</t>
        </is>
      </c>
      <c r="G1729" s="4" t="inlineStr">
        <is>
          <t>Ön tudta, hogy a hibásan bekötött konnektorok komoly veszélyforrást jelenthetnek? A Home SMATESTER konnektor teszterrel pillanatok alatt meggyőződhet otthona biztonságáról. Ez az eszköz képes azonnal feltárni a fali aljzatok esetleges hibás bekötéseit, mint a felcserélt fázis és nulla, a felcserélt fázis és föld, vagy a hiányzó földelés. A LED visszajelzők és a nagyméretű, megvilágított kijelző segítségével könnyedén azonosíthatók a problémák.
Több mint egy egyszerű teszter, ez az eszköz voltmérőként is funkcionál, lehetővé téve L-N és N-E feszültségek, valamint RCD mA áramok leolvasását. Emellett ellenőrzi az érintésvédelmi relé (Fi, RCD) helyes működését is, így biztosítva a teljes körű védelmet. Elem nélkül működik és max. 250V~ aljzatokhoz használható, megjegyzendő, hogy nem vizsgál minden lehetséges téves bekötést és azok kombinációit.
Biztonság az első – ne hagyja a véletlenre otthona elektromos biztonságát. A Home SMATESTER konnektor teszterrel gyorsan és egyszerűen ellenőrizheti, hogy aljzatai megfelelően vannak-e bekötve, megelőzve ezzel a potenciális baleseteket.</t>
        </is>
      </c>
    </row>
    <row r="1730">
      <c r="A1730" s="6" t="inlineStr">
        <is>
          <t xml:space="preserve">   Mérés, szerszám, forrasztás / Mérőzsinór</t>
        </is>
      </c>
      <c r="B1730" s="6" t="inlineStr">
        <is>
          <t/>
        </is>
      </c>
      <c r="C1730" s="6" t="inlineStr">
        <is>
          <t/>
        </is>
      </c>
      <c r="D1730" s="6" t="inlineStr">
        <is>
          <t/>
        </is>
      </c>
      <c r="E1730" s="6" t="inlineStr">
        <is>
          <t/>
        </is>
      </c>
      <c r="F1730" s="6" t="inlineStr">
        <is>
          <t/>
        </is>
      </c>
      <c r="G1730" s="6" t="inlineStr">
        <is>
          <t/>
        </is>
      </c>
    </row>
    <row r="1731">
      <c r="A1731" s="3" t="inlineStr">
        <is>
          <t>MZ 2M</t>
        </is>
      </c>
      <c r="B1731" s="2" t="inlineStr">
        <is>
          <t>Home MZ 2M mérőzsinór PVC szigeteléssel, kombinált tapintócsúcsok, ~120 mm markolat, 600VCATII/600VCATIII, 10 A max. terhelhetőség</t>
        </is>
      </c>
      <c r="C1731" s="1" t="n">
        <v>1690.0</v>
      </c>
      <c r="D1731" s="7" t="n">
        <f>HYPERLINK("https://www.somogyi.hu/product/home-mz-2m-merozsinor-pvc-szigetelessel-kombinalt-tapintocsucsok-120-mm-markolat-600vcatii-600vcatiii-10-a-max-terhelhetoseg-mz-2m-17030","https://www.somogyi.hu/product/home-mz-2m-merozsinor-pvc-szigetelessel-kombinalt-tapintocsucsok-120-mm-markolat-600vcatii-600vcatiii-10-a-max-terhelhetoseg-mz-2m-17030")</f>
        <v>0.0</v>
      </c>
      <c r="E1731" s="7" t="n">
        <f>HYPERLINK("https://www.somogyi.hu/data/img/product_main_images/small/17030.jpg","https://www.somogyi.hu/data/img/product_main_images/small/17030.jpg")</f>
        <v>0.0</v>
      </c>
      <c r="F1731" s="2" t="inlineStr">
        <is>
          <t>5999084950620</t>
        </is>
      </c>
      <c r="G1731" s="4" t="inlineStr">
        <is>
          <t>Hogyan mérhet pontosan és biztonságosan különféle elektromos áramköröket?
A Home MZ 2M mérőzsinór PVC szigeteléssel egy praktikus és megbízható eszköz minden olyan szakember vagy hobbi elektronikai felhasználó számára, aki precíz méréseket szeretne végezni. A kombinált tapintócsúcsok eltávolítható szigetelő kupakokkal ellátott kialakítása garantálja a sokoldalú használhatóságot és a maximális biztonságot akár 600 V-os áramkörök esetén is. A 10 A maximális terhelhetőség és a strapabíró PVC szigetelésű vezeték lehetővé teszi a hosszú távú, stabil működést.
Kombinált tapintócsúcsok és eltávolítható szigetelő kupakok
A mérőzsinór kombinált tapintócsúcsokkal van felszerelve, amelyek eltávolítható szigetelő kupakokkal rendelkeznek. Ez lehetővé teszi a precíz mérést, miközben növeli a biztonságot a feszültség alatt lévő áramköröknél végzett munkák során. A szigetelő kupakokat eltávolítva a tapintócsúcs könnyedén hozzáfér a nehezen elérhető mérési pontokhoz is.
Stabil csatlakozás pipa banándugókkal
A mérőzsinór pipa alakú banándugói 4 mm átmérőjűek, amelyek szabványos kialakításuknak köszönhetően kompatibilisek a legtöbb mérőműszerrel és multiméterrel. A stabil csatlakozás garantálja a pontos mérési eredményeket és a kényelmes használatot. A dugók PVC szigeteléssel vannak ellátva, amely védi a felhasználót az esetleges sérülésektől.
Kényelmes fogás és precíz mérőcsúcsok
A mérőzsinór ~120 mm hosszú markolata ergonomikus kialakítással készült, amely kényelmes fogást biztosít, még hosszabb munkavégzés során is. A 2 mm átmérőjű mérőcsúcs pontos mérést tesz lehetővé, akár szűk helyeken is. A precíziós csúcsok minimalizálják a mérési hibákat, így ideális választás finommechanikai és elektronikai munkákhoz.
Nagyfokú biztonság és terhelhetőség
A 600 V CAT II / 600 V CAT III biztonsági besorolás garantálja, hogy a mérőzsinór biztonságosan használható közepes és magas feszültségű áramkörökben. A 10 A maximális terhelhetőség biztosítja, hogy a zsinór megbízhatóan működjön különböző áramkörök mérésénél is. A ~90 cm hosszú, 22AWG vastagságú vezeték kellően rugalmas és strapabíró, így kényelmes munkavégzést biztosít még nehezen hozzáférhető helyeken is.
Miért válassza a Home MZ 2M mérőzsinórt?
– Kombinált tapintócsúcsok eltávolítható szigetelő kupakokkal, a sokoldalú használatért 
– Stabil pipa banándugók, amelyek biztos csatlakozást nyújtanak a mérőműszerekhez 
– 600 V CAT II / 600 V CAT III biztonsági besorolás, a magas szintű védelem érdekében
 – ~90 cm hosszú, 22AWG vezeték, amely rugalmas és tartós 
– 10 A maximális terhelhetőség, amely alkalmassá teszi a nagyobb áramerősséggel rendelkező áramkörök mérésére
A Home MZ 2M mérőzsinór kiváló választás mindazok számára, akik biztonságos, pontos és kényelmes megoldást keresnek az elektromos áramkörök mérésére. Fedezze fel a megbízható mérés élményét ezzel a strapabíró, professzionális eszközzel, amely hosszú távon is kiváló teljesítményt nyújt!</t>
        </is>
      </c>
    </row>
    <row r="1732">
      <c r="A1732" s="3" t="inlineStr">
        <is>
          <t>MZ 3S</t>
        </is>
      </c>
      <c r="B1732" s="2" t="inlineStr">
        <is>
          <t>Home MZ 3S mérőzsinór szilikon szigeteléssel, hajlékony, lágy, tartós, ~145 mm markolat, 1000VCATII/1000VCATIII/ 600VCATIV, 10 A max. terhelhetőség</t>
        </is>
      </c>
      <c r="C1732" s="1" t="n">
        <v>2690.0</v>
      </c>
      <c r="D1732" s="7" t="n">
        <f>HYPERLINK("https://www.somogyi.hu/product/home-mz-3s-merozsinor-szilikon-szigetelessel-hajlekony-lagy-tartos-145-mm-markolat-1000vcatii-1000vcatiii-600vcativ-10-a-max-terhelhetoseg-mz-3s-17031","https://www.somogyi.hu/product/home-mz-3s-merozsinor-szilikon-szigetelessel-hajlekony-lagy-tartos-145-mm-markolat-1000vcatii-1000vcatiii-600vcativ-10-a-max-terhelhetoseg-mz-3s-17031")</f>
        <v>0.0</v>
      </c>
      <c r="E1732" s="7" t="n">
        <f>HYPERLINK("https://www.somogyi.hu/data/img/product_main_images/small/17031.jpg","https://www.somogyi.hu/data/img/product_main_images/small/17031.jpg")</f>
        <v>0.0</v>
      </c>
      <c r="F1732" s="2" t="inlineStr">
        <is>
          <t>5999084950637</t>
        </is>
      </c>
      <c r="G1732" s="4" t="inlineStr">
        <is>
          <t>Hogyan biztosíthatja az elektromos áramkörök mérését maximális rugalmassággal és biztonsággal?
A Home MZ 3S mérőzsinór szilikon szigeteléssel ideális választás mind szakemberek, mind hobbi elektronikai felhasználók számára, akik pontos, biztonságos és kényelmes méréseket szeretnének végezni. A hajlékony, lágy és tartós szilikon szigetelés lehetővé teszi a mérőzsinór kényelmes használatát még szűk helyeken vagy gyakori mozgatás esetén is. Az eltávolítható szigetelő kupakokkal ellátott kombinált tapintócsúcsok és a stabil pipa banándugók garantálják a megbízható csatlakozást, miközben a magas fokú biztonsági besorolás széles körű alkalmazási lehetőséget biztosít.
Hajlékony szilikon szigetelés a kényelmes használatért
A mérőzsinórt puha, hajlékony szilikon szigeteléssel látták el, amely rendkívül tartós és ellenáll a hőmérsékleti ingadozásoknak, így hosszú élettartamot biztosít még intenzív használat esetén is. Ez a speciális szigetelés nemcsak strapabíróvá teszi a zsinórt, hanem megakadályozza annak megtörését és sérülését, így garantálva a biztonságos munkavégzést.
Kombinált tapintócsúcsok és eltávolítható szigetelő kupakok
A mérőzsinór kombinált tapintócsúcsai eltávolítható szigetelő kupakokkal vannak ellátva, amelyek védelmet nyújtanak a véletlen érintkezések ellen. A szigetelő kupakok eltávolításával könnyedén elérhetővé válnak a szűk helyeken található mérési pontok, így még precízebb méréseket végezhet.
Stabil csatlakozás pipa banándugókkal
A 4 mm átmérőjű pipa banándugók biztosítják a stabil és biztonságos csatlakoztatást a legtöbb mérőműszerhez és multiméterhez. A pipa kialakítás kényelmes használatot tesz lehetővé, különösen nehezen hozzáférhető helyeken történő méréskor.
Precíz mérőcsúcsok és hosszú markolat
A ~145 mm-es markolat ergonomikus kialakításának köszönhetően kényelmes fogást biztosít, amely még hosszabb munkavégzés során is megkönnyíti a használatot. A 2 mm átmérőjű mérőcsúcsok precíz mérést tesznek lehetővé, különösen szűk helyeken vagy finommechanikai munkák esetében.
Magasfokú biztonsági besorolás és terhelhetőség
A mérőzsinór 1000 V CAT II / 1000 V CAT III / 600 V CAT IV besorolással rendelkezik, amely garantálja a biztonságos használatot alacsony- és középfeszültségű áramkörökben is. A maximális 10 A terhelhetőség lehetővé teszi, hogy különféle áramerősségű áramköröknél is megbízhatóan működjön. A ~120 cm hosszú, 20AWG vastagságú vezeték elegendő mozgásszabadságot biztosít, miközben strapabíró kialakítása ellenáll a mechanikai igénybevételnek.
Miért válassza a Home MZ 3S mérőzsinórt?
– Puha, hajlékony szilikon szigetelés a tartósság és rugalmasság érdekében 
– Eltávolítható szigetelő kupakok a biztonságos és precíz méréshez 
– 4 mm-es pipa banándugók, amelyek stabil csatlakoztatást biztosítanak 
– Magas biztonsági besorolás: 1000 V CAT II / 1000 V CAT III / 600 V CAT IV 
– Ergonomikus markolat és precíz mérőcsúcsok a pontos munkavégzéshez 
– ~120 cm hosszú vezeték, amely kényelmes munkavégzést tesz lehetővé
A Home MZ 3S mérőzsinór szilikon szigeteléssel tökéletes választás azok számára, akik hosszú élettartamú, biztonságos és kényelmesen használható mérőeszközt keresnek. Fedezze fel a professzionális mérések új szintjét ezzel a kiváló minőségű mérőzsinórral, amely minden helyzetben megbízható teljesítményt nyújt!</t>
        </is>
      </c>
    </row>
    <row r="1733">
      <c r="A1733" s="3" t="inlineStr">
        <is>
          <t>MZ SMART</t>
        </is>
      </c>
      <c r="B1733" s="2" t="inlineStr">
        <is>
          <t>Home MZ SMART mérőzsinór, SMA SMART multiméter, 600 V CAT II / CAT III, max. 10 A , ~90 cm</t>
        </is>
      </c>
      <c r="C1733" s="1" t="n">
        <v>1350.0</v>
      </c>
      <c r="D1733" s="7" t="n">
        <f>HYPERLINK("https://www.somogyi.hu/product/home-mz-smart-merozsinor-sma-smart-multimeter-600-v-cat-ii-cat-iii-max-10-a-90-cm-mz-smart-18309","https://www.somogyi.hu/product/home-mz-smart-merozsinor-sma-smart-multimeter-600-v-cat-ii-cat-iii-max-10-a-90-cm-mz-smart-18309")</f>
        <v>0.0</v>
      </c>
      <c r="E1733" s="7" t="n">
        <f>HYPERLINK("https://www.somogyi.hu/data/img/product_main_images/small/18309.jpg","https://www.somogyi.hu/data/img/product_main_images/small/18309.jpg")</f>
        <v>0.0</v>
      </c>
      <c r="F1733" s="2" t="inlineStr">
        <is>
          <t>5999084963316</t>
        </is>
      </c>
      <c r="G1733" s="4" t="inlineStr">
        <is>
          <t>Ön is tudja, hogy a pontos és biztonságos mérések elengedhetetlenek minden elektromos munkához. A Home MZ SMART mérőzsinór tökéletes kiegészítője lehet a SMA SMART 2 multiméterének.
A mérőzsinór kombinált tapintócsúcsai kivételes rugalmasságot biztosítanak a mérési feladatok során. Az eltávolítható szigetelő kupakoknak köszönhetően könnyedén alkalmazkodik a különböző mérési környezetekhez és szükségletekhez. A zsinór 600V CAT II és 600V CAT III besorolású, így kiválóan használható mind otthoni, mind ipari környezetben.
A 10A maximális terhelhetőség biztosítja, hogy a mérőzsinór megbízhatóan teljesíti feladatát még a legnehezebb körülmények között is. A mintegy 90 cm hosszúságú zsinór elegendő mozgásteret biztosít a munkavégzéshez, miközben megőrzi a kompaktságát és könnyű hordozhatóságát.
Válassza a Home MZ SMART mérőzsinórt, amikor precizitásra és megbízhatóságra van szüksége elektromos munkái során. Ez a kiváló minőségű kiegészítő garantálja a biztonságot és a pontosságot minden méréskor. Rendelje meg most, és élvezze a zökkenőmentes és pontos munkavégzést!</t>
        </is>
      </c>
    </row>
    <row r="1734">
      <c r="A1734" s="3" t="inlineStr">
        <is>
          <t>MVT 808ACE</t>
        </is>
      </c>
      <c r="B1734" s="2" t="inlineStr">
        <is>
          <t>Home MVT 808ACE kétpólusú AC/DC feszültségvizsgáló, 6-400 V egyen- és váltakozó feszültséghez, 10 LED visszajelző, robusztus ház és vezeték</t>
        </is>
      </c>
      <c r="C1734" s="1" t="n">
        <v>9590.0</v>
      </c>
      <c r="D1734" s="7" t="n">
        <f>HYPERLINK("https://www.somogyi.hu/product/home-mvt-808ace-ketpolusu-ac-dc-feszultsegvizsgalo-6-400-v-egyen-es-valtakozo-feszultseghez-10-led-visszajelzo-robusztus-haz-es-vezetek-mvt-808ace-9382","https://www.somogyi.hu/product/home-mvt-808ace-ketpolusu-ac-dc-feszultsegvizsgalo-6-400-v-egyen-es-valtakozo-feszultseghez-10-led-visszajelzo-robusztus-haz-es-vezetek-mvt-808ace-9382")</f>
        <v>0.0</v>
      </c>
      <c r="E1734" s="7" t="n">
        <f>HYPERLINK("https://www.somogyi.hu/data/img/product_main_images/small/09382.jpg","https://www.somogyi.hu/data/img/product_main_images/small/09382.jpg")</f>
        <v>0.0</v>
      </c>
      <c r="F1734" s="2" t="inlineStr">
        <is>
          <t>5998312781814</t>
        </is>
      </c>
      <c r="G1734" s="4" t="inlineStr">
        <is>
          <t>Hogyan ellenőrizheti biztonságosan és hatékonyan az AC és DC feszültségeket otthonában vagy munkahelyén? A Home MVT 808ACE kétpólusú AC/DC feszültségvizsgáló a tökéletes eszköz minden elektromos ellenőrzési feladathoz, 6-400 V egyen- és váltakozó feszültség tartományban.
Ez a készülék kiemelkedik a 10 LED-es visszajelzőjével, amely pontos és azonnali visszajelzést nyújt a feszültség jelenlétéről és nagyságáról, így még a kevésbé tapasztalt felhasználók számára is könnyen értelmezhető. A robusztus ház és vezeték biztosítja a hosszú távú megbízhatóságot és tartósságot, még a legkeményebb munkakörülmények között is.
A készülékben található kapcsoló lehetővé teszi a 24 V alatti mérések egyszerűsített elvégzését, ami különösen hasznos kisebb feszültségű rendszerek, például alacsony feszültségű világítási rendszerek vagy elektronikai berendezések ellenőrzésekor. Az összekötő kábel 0,6 méter hosszúsága elegendő rugalmasságot biztosít a mérési pontok közötti kényelmes mozgáshoz, míg a készülékház 220 mm-es hossza ergonomikus fogást és használatot tesz lehetővé.
Váljon a Home MVT 808ACE kétpólusú AC/DC feszültségvizsgálóval az elektromos ellenőrzések mesterevé. Ez az eszköz nem csupán növeli a biztonságot, de a precíz és gyors mérési eredményekkel időt és energiát is megtakarít Önnek!</t>
        </is>
      </c>
    </row>
    <row r="1735">
      <c r="A1735" s="3" t="inlineStr">
        <is>
          <t>MZ 4</t>
        </is>
      </c>
      <c r="B1735" s="2" t="inlineStr">
        <is>
          <t>Home MZ 4 prémium mérőzsinór, professzionális, kombinált tapintócsúcs precíziós rugós érintkezővel, 1000VCATIII/600VCATIV, 10 A max. terhelhetőség</t>
        </is>
      </c>
      <c r="C1735" s="1" t="n">
        <v>4190.0</v>
      </c>
      <c r="D1735" s="7" t="n">
        <f>HYPERLINK("https://www.somogyi.hu/product/home-mz-4-premium-merozsinor-professzionalis-kombinalt-tapintocsucs-precizios-rugos-erintkezovel-1000vcatiii-600vcativ-10-a-max-terhelhetoseg-mz-4-16373","https://www.somogyi.hu/product/home-mz-4-premium-merozsinor-professzionalis-kombinalt-tapintocsucs-precizios-rugos-erintkezovel-1000vcatiii-600vcativ-10-a-max-terhelhetoseg-mz-4-16373")</f>
        <v>0.0</v>
      </c>
      <c r="E1735" s="7" t="n">
        <f>HYPERLINK("https://www.somogyi.hu/data/img/product_main_images/small/16373.jpg","https://www.somogyi.hu/data/img/product_main_images/small/16373.jpg")</f>
        <v>0.0</v>
      </c>
      <c r="F1735" s="2" t="inlineStr">
        <is>
          <t>5999084944056</t>
        </is>
      </c>
      <c r="G1735" s="4" t="inlineStr">
        <is>
          <t>Van olyan mérőzsinór, amely megbízhatóságával és precizitásával kiemelkedik a többi közül? A Home MZ 4 prémium mérőzsinór pontosan ilyen: professzionális minőségű eszköz, amelyet kifejezetten a legmagasabb igények kielégítésére terveztek.
Ez a mérőzsinór kombinált tapintócsúccsal és precíziós rugós érintkezővel rendelkezik, amelyek garantálják a pontos és megbízható kapcsolatot minden mérés során. A banándugókban található, belül is szigetelt végű kontaktusok tovább növelik a biztonságot és a használati kényelmet. Az eltávolítható szigetelő kupakok lehetővé teszik a mérőzsinór testreszabását és adaptálását a különböző mérési körülményekhez.
A 2 mm átmérőjű mérőfejek és a ~135 cm hosszúságú, 18AWG vezeték ideális kombinációt nyújtanak a hozzáférhetőség és a rugalmasság terén, miközben a 1000V CAT III és 600V CAT IV besorolás, valamint a 10 A maximális terhelhetőség biztosítja a készülék alkalmazhatóságát széles körű elektromos méréseknél.
Válassza a Home MZ 4 prémium mérőzsinórt, hogy minden elektromos mérését a lehető legnagyobb pontossággal és biztonsággal végezhesse el.</t>
        </is>
      </c>
    </row>
    <row r="1736">
      <c r="A1736" s="6" t="inlineStr">
        <is>
          <t xml:space="preserve">   Mérés, szerszám, forrasztás / Multi teszter, fáziskereső</t>
        </is>
      </c>
      <c r="B1736" s="6" t="inlineStr">
        <is>
          <t/>
        </is>
      </c>
      <c r="C1736" s="6" t="inlineStr">
        <is>
          <t/>
        </is>
      </c>
      <c r="D1736" s="6" t="inlineStr">
        <is>
          <t/>
        </is>
      </c>
      <c r="E1736" s="6" t="inlineStr">
        <is>
          <t/>
        </is>
      </c>
      <c r="F1736" s="6" t="inlineStr">
        <is>
          <t/>
        </is>
      </c>
      <c r="G1736" s="6" t="inlineStr">
        <is>
          <t/>
        </is>
      </c>
    </row>
    <row r="1737">
      <c r="A1737" s="3" t="inlineStr">
        <is>
          <t>FC 20</t>
        </is>
      </c>
      <c r="B1737" s="2" t="inlineStr">
        <is>
          <t>Home FC 20 fázisceruza, 19 cm, 200-250 V~,  fáziskeresés fémes kapcsolattal, fényjelzés fázistalálat esetén</t>
        </is>
      </c>
      <c r="C1737" s="1" t="n">
        <v>959.0</v>
      </c>
      <c r="D1737" s="7" t="n">
        <f>HYPERLINK("https://www.somogyi.hu/product/home-fc-20-fazisceruza-19-cm-200-250-v-faziskereses-femes-kapcsolattal-fenyjelzes-fazistalalat-eseten-fc-20-8677","https://www.somogyi.hu/product/home-fc-20-fazisceruza-19-cm-200-250-v-faziskereses-femes-kapcsolattal-fenyjelzes-fazistalalat-eseten-fc-20-8677")</f>
        <v>0.0</v>
      </c>
      <c r="E1737" s="7" t="n">
        <f>HYPERLINK("https://www.somogyi.hu/data/img/product_main_images/small/08677.jpg","https://www.somogyi.hu/data/img/product_main_images/small/08677.jpg")</f>
        <v>0.0</v>
      </c>
      <c r="F1737" s="2" t="inlineStr">
        <is>
          <t>5998312775691</t>
        </is>
      </c>
      <c r="G1737" s="4" t="inlineStr">
        <is>
          <t>Van már olyan eszköze, amely biztonságosan és hatékonyan segít az elektromos vezetékek fázisának azonosításában? A Home FC 20 fázisceruza pontosan ezt a célt szolgálja, ideális választás mindazok számára, akik elektromos munkákat végeznek otthonukban vagy munkahelyükön. 
Ez a kiváló minőségű eszköz a 200-250 V~ feszültségtartományban képes azonnali fáziskeresésre fémes kapcsolattal. Amikor a fázisceruza érintkezik az aktív vezetékkel, fényjelzés jelzi a fázistalálatot, ezzel növelve a munkavégzés biztonságát és hatékonyságát. Ez a funkció különösen hasznos olyan helyzetekben, ahol fontos a gyors és egyértelmű visszajelzés.
A Home FC 20 fázisceruza hossza 190 mm, ami nagyobb hosszúságú, mint a szabvány modelljei, így még több felhasználási lehetőséget biztosít, beleértve a nehezebben elérhető helyeket is. Az ergonomikus kialakítás és a könnyű súly garantálja, hogy a használata kényelmes és egyszerű, még hosszabb ideig tartó munkavégzés során is.
Ne bízza a véletlenre az elektromos biztonságot! Bízza a Home FC 20 fázisceruzára, amely megbízhatóan jelzi az aktív vezetékeket, így biztonságos környezetet teremt minden elektromos munkához.</t>
        </is>
      </c>
    </row>
    <row r="1738">
      <c r="A1738" s="3" t="inlineStr">
        <is>
          <t>VD 44</t>
        </is>
      </c>
      <c r="B1738" s="2" t="inlineStr">
        <is>
          <t>Home VD 44 érintés nélküli feszültségvizsgáló, ~12/48-1000V AC, három fokozatú jelnagyság jelzés, átkapcsolható érzékenység</t>
        </is>
      </c>
      <c r="C1738" s="1" t="n">
        <v>4090.0</v>
      </c>
      <c r="D1738" s="7" t="n">
        <f>HYPERLINK("https://www.somogyi.hu/product/home-vd-44-erintes-nelkuli-feszultsegvizsgalo-12-48-1000v-ac-harom-fokozatu-jelnagysag-jelzes-atkapcsolhato-erzekenyseg-vd-44-18184","https://www.somogyi.hu/product/home-vd-44-erintes-nelkuli-feszultsegvizsgalo-12-48-1000v-ac-harom-fokozatu-jelnagysag-jelzes-atkapcsolhato-erzekenyseg-vd-44-18184")</f>
        <v>0.0</v>
      </c>
      <c r="E1738" s="7" t="n">
        <f>HYPERLINK("https://www.somogyi.hu/data/img/product_main_images/small/18184.jpg","https://www.somogyi.hu/data/img/product_main_images/small/18184.jpg")</f>
        <v>0.0</v>
      </c>
      <c r="F1738" s="2" t="inlineStr">
        <is>
          <t>5999084962067</t>
        </is>
      </c>
      <c r="G1738" s="4" t="inlineStr">
        <is>
          <t>Kíváncsi arra, hogyan lehet gyorsan és biztonságosan ellenőrizni az elektromos feszültséget anélkül, hogy fizikai kontaktus lenne? A Home VD 44 érintés nélküli feszültségvizsgáló a tökéletes segítőtársa lehet a mindennapi villamos munkák során. 
Ez az eszköz érintés nélkül érzékeli a feszültséget, amely 12/48-1000V AC tartományban mozog, így megbízhatóan és biztonságosan használható.
A készülék hang- és piros fényjelzéssel figyelmeztet a váltakozó feszültség jelenlétére, így mindig pontos visszajelzést kap. A három fokozatú jelnagyság jelzés és az átkapcsolható érzékenység további precíziós beállításokat tesz lehetővé, hogy minden helyzetben optimális eredményeket érhessen el.
További kényelmi funkciók közé tartozik az elemlámpa funkció, amely megkönnyíti a sötét helyeken végzett munkát, valamint az automatikus kikapcsolás és az elemkimerülés jelzése, amelyek növelik a termék élettartamát és hatékonyságát. A Home VD 44-et 2 x 1,5 V (AAA) elem működteti (nem tartozék), és kompakt mérete (158 x 20 x 20 mm) révén könnyedén hordozható.
Ne várjon tovább! Szerezze be a Home VD 44 érintés nélküli feszültségvizsgálót még ma, és dolgozzon biztonságosan és hatékonyan minden alkalommal!</t>
        </is>
      </c>
    </row>
    <row r="1739">
      <c r="A1739" s="3" t="inlineStr">
        <is>
          <t>VD 22</t>
        </is>
      </c>
      <c r="B1739" s="2" t="inlineStr">
        <is>
          <t>Home VD 22 érintés nélküli feszültségvizsgáló, váltakozó feszültség jelenlétének ellenőrzése, 90-1000 V~, ideális hibakereséskor</t>
        </is>
      </c>
      <c r="C1739" s="1" t="n">
        <v>2190.0</v>
      </c>
      <c r="D1739" s="7" t="n">
        <f>HYPERLINK("https://www.somogyi.hu/product/home-vd-22-erintes-nelkuli-feszultsegvizsgalo-valtakozo-feszultseg-jelenletenek-ellenorzese-90-1000-v-idealis-hibakereseskor-vd-22-14616","https://www.somogyi.hu/product/home-vd-22-erintes-nelkuli-feszultsegvizsgalo-valtakozo-feszultseg-jelenletenek-ellenorzese-90-1000-v-idealis-hibakereseskor-vd-22-14616")</f>
        <v>0.0</v>
      </c>
      <c r="E1739" s="7" t="n">
        <f>HYPERLINK("https://www.somogyi.hu/data/img/product_main_images/small/14616.jpg","https://www.somogyi.hu/data/img/product_main_images/small/14616.jpg")</f>
        <v>0.0</v>
      </c>
      <c r="F1739" s="2" t="inlineStr">
        <is>
          <t>5999084926588</t>
        </is>
      </c>
      <c r="G1739" s="4" t="inlineStr">
        <is>
          <t>Szeretne egy megbízható eszközt, amely biztonságosan érzékeli a váltakozó feszültséget anélkül, hogy közvetlenül érintkezne a vezetékekkel? A Home VD 22 érintés nélküli feszültségvizsgálóval pontosan ezt kapja. 
Ez az innovatív eszköz forradalmasítja a hibakeresési folyamatokat, lehetővé téve a váltakozó feszültség gyors és biztonságos ellenőrzését érintés nélkül, 90-1000 V~ tartományban.
Ideális választás mindenféle elektromos hibakeresési feladathoz, legyen szó hosszabbítókról, elosztókról, fali csatlakozóaljzatokról, izzósorokról, lámpákról, vagy akár a készüléken és kapcsolószekrényen belüli kábelekről. Amint a készülék érzékeli a váltakozó feszültség jelenlétét, azonnal figyelmeztet a felhasználót szaggatott hangjelzéssel és villogó piros fény jelzéssel, így biztosítva az elektromos rendszerek biztonságos vizsgálatát.
A beépített LED lámpa külön kapcsolható funkciója extra kényelmet biztosít sötét vagy rosszul megvilágított helyeken végzett munkák során. A hosszú elemélettartam – körülbelül 1,5 év készenléti idő és 6 óra folyamatos használat – gondoskodik arról, hogy a Home VD 22 mindig készen álljon, amikor szükség van rá. A tápellátás 2 x 1,5 V (AAA) elemmel történik, amely nem tartozék a csomaghoz, így külön kell beszerezni őket.
Ne kockáztassa a biztonságát és ne pazarolja az idejét találgatásokkal; a Home VD 22 érintés nélküli feszültségvizsgálóval gyorsan, biztonságosan és hatékonyan végezheti el az elektromos ellenőrzéseket.</t>
        </is>
      </c>
    </row>
    <row r="1740">
      <c r="A1740" s="3" t="inlineStr">
        <is>
          <t>FC 10</t>
        </is>
      </c>
      <c r="B1740" s="2" t="inlineStr">
        <is>
          <t>Home FC 10 fázisceruza, 14 cm, 200-250 V~,  fáziskeresés fémes kapcsolattal, fényjelzés fázistalálat esetén</t>
        </is>
      </c>
      <c r="C1740" s="1" t="n">
        <v>669.0</v>
      </c>
      <c r="D1740" s="7" t="n">
        <f>HYPERLINK("https://www.somogyi.hu/product/home-fc-10-fazisceruza-14-cm-200-250-v-faziskereses-femes-kapcsolattal-fenyjelzes-fazistalalat-eseten-fc-10-8676","https://www.somogyi.hu/product/home-fc-10-fazisceruza-14-cm-200-250-v-faziskereses-femes-kapcsolattal-fenyjelzes-fazistalalat-eseten-fc-10-8676")</f>
        <v>0.0</v>
      </c>
      <c r="E1740" s="7" t="n">
        <f>HYPERLINK("https://www.somogyi.hu/data/img/product_main_images/small/08676.jpg","https://www.somogyi.hu/data/img/product_main_images/small/08676.jpg")</f>
        <v>0.0</v>
      </c>
      <c r="F1740" s="2" t="inlineStr">
        <is>
          <t>5998312775684</t>
        </is>
      </c>
      <c r="G1740" s="4" t="inlineStr">
        <is>
          <t>Szüksége van egy megbízható eszközre, amely gyorsan és biztonságosan megmutatja, hol van áram a ház körül? A Home FC 10 fázisceruza a tökéletes választás mindenki számára, aki elektromos munkákat végez, legyen az profi vagy otthoni felhasználó. 
Kifejezetten a 200-250 V~ feszültség tartományban való fáziskeresésre tervezték, ez az eszköz fémes kapcsolattal azonnal felismeri az aktív vezetékeket.
Amikor a fázisceruza érzékeli a fázist, fényjelzéssel hívja fel a figyelmet a találatra, így azonnal tudhatja, hol van szükség óvatosságra. Ez a funkció különösen hasznos sötétebb környezetben vagy nehezen hozzáférhető helyeken végzett munkák esetén, ahol a vizuális visszajelzés nagymértékben megkönnyítheti a feladatot.
A Home FC 10 fázisceruza 140 mm-es teljes hosszával és praktikus akasztófüllel rendelkezik, ami lehetővé teszi, hogy könnyedén magánál tartsa vagy tárolja, amikor éppen nem használja. A kompakt méret és a könnyű hordozhatóság biztosítja, hogy mindig kéznél legyen, amikor szükség van rá.
Ne kockáztasson, amikor elektromos munkákról van szó. Válassza a Home FC 10 fázisceruzát a biztonságos és hatékony fáziskeresés érdekében.</t>
        </is>
      </c>
    </row>
    <row r="1741">
      <c r="A1741" s="6" t="inlineStr">
        <is>
          <t xml:space="preserve">   Mérés, szerszám, forrasztás / Mérőszalag, vízmérték</t>
        </is>
      </c>
      <c r="B1741" s="6" t="inlineStr">
        <is>
          <t/>
        </is>
      </c>
      <c r="C1741" s="6" t="inlineStr">
        <is>
          <t/>
        </is>
      </c>
      <c r="D1741" s="6" t="inlineStr">
        <is>
          <t/>
        </is>
      </c>
      <c r="E1741" s="6" t="inlineStr">
        <is>
          <t/>
        </is>
      </c>
      <c r="F1741" s="6" t="inlineStr">
        <is>
          <t/>
        </is>
      </c>
      <c r="G1741" s="6" t="inlineStr">
        <is>
          <t/>
        </is>
      </c>
    </row>
    <row r="1742">
      <c r="A1742" s="3" t="inlineStr">
        <is>
          <t>MTP 5-25</t>
        </is>
      </c>
      <c r="B1742" s="2" t="inlineStr">
        <is>
          <t>Home MTP 5-25 mérőszalag, hosszúság: 5 m, szélesség: 19 mm, gumírozott ház, blokkolás funkció, fémszalag beakasztható véggel</t>
        </is>
      </c>
      <c r="C1742" s="1" t="n">
        <v>1250.0</v>
      </c>
      <c r="D1742" s="7" t="n">
        <f>HYPERLINK("https://www.somogyi.hu/product/home-mtp-5-25-meroszalag-hosszusag-5-m-szelesseg-19-mm-gumirozott-haz-blokkolas-funkcio-femszalag-beakaszthato-veggel-mtp-5-25-5059","https://www.somogyi.hu/product/home-mtp-5-25-meroszalag-hosszusag-5-m-szelesseg-19-mm-gumirozott-haz-blokkolas-funkcio-femszalag-beakaszthato-veggel-mtp-5-25-5059")</f>
        <v>0.0</v>
      </c>
      <c r="E1742" s="7" t="n">
        <f>HYPERLINK("https://www.somogyi.hu/data/img/product_main_images/small/05059.jpg","https://www.somogyi.hu/data/img/product_main_images/small/05059.jpg")</f>
        <v>0.0</v>
      </c>
      <c r="F1742" s="2" t="inlineStr">
        <is>
          <t>5998312744512</t>
        </is>
      </c>
      <c r="G1742" s="4" t="inlineStr">
        <is>
          <t>Szüksége van egy megbízható és könnyen kezelhető mérőszalagra, amely minden mérést pontosan és gyorsan elvégez? A Home MTP 5-25 mérőszalag a tökéletes választás az Ön számára. 
Ez az 5 méter hosszú és 19 mm széles mérőszalag mind méter, mind láb beosztással rendelkezik, így kiválóan alkalmazható a különböző mérési igényekhez mind otthoni, mind szakmai felhasználásra. A gumírozott ház nem csak tartós védelmet biztosít a mérőszalag számára, hanem megakadályozza a csúszást a kézből, így biztosítva a stabil és biztonságos használatot. A blokkolás funkció lehetővé teszi, hogy a kiválasztott hosszt rögzítse, ezzel megkönnyítve a munkát és növelve a mérési pontosságot.
A mérőszalag végén található fémszalag és a beakasztható vég garantálja a könnyű használatot és a stabilitást méréskor, így nem kell attól tartania, hogy a szalag elmozdul vagy megcsúszik az alapfelületről. Ez a funkció különösen hasznos lehet nehezen hozzáférhető helyeken vagy egyedül dolgozva.
Ne hagyja, hogy az alacsony minőségű mérőeszközök akadályozzák projektjeinek sikerét! A Home MTP 5-25 mérőszalaggal minden mérési feladat egyszerűvé és pontosabbá válik.</t>
        </is>
      </c>
    </row>
    <row r="1743">
      <c r="A1743" s="6" t="inlineStr">
        <is>
          <t xml:space="preserve">   Mérés, szerszám, forrasztás / Banáncsatlakozó</t>
        </is>
      </c>
      <c r="B1743" s="6" t="inlineStr">
        <is>
          <t/>
        </is>
      </c>
      <c r="C1743" s="6" t="inlineStr">
        <is>
          <t/>
        </is>
      </c>
      <c r="D1743" s="6" t="inlineStr">
        <is>
          <t/>
        </is>
      </c>
      <c r="E1743" s="6" t="inlineStr">
        <is>
          <t/>
        </is>
      </c>
      <c r="F1743" s="6" t="inlineStr">
        <is>
          <t/>
        </is>
      </c>
      <c r="G1743" s="6" t="inlineStr">
        <is>
          <t/>
        </is>
      </c>
    </row>
    <row r="1744">
      <c r="A1744" s="3" t="inlineStr">
        <is>
          <t>BD 5G/BK</t>
        </is>
      </c>
      <c r="B1744" s="2" t="inlineStr">
        <is>
          <t>Home BD 5G/BK banándugó, fekete, műanyag, keresztlyukas, csavarozható, aranyozott</t>
        </is>
      </c>
      <c r="C1744" s="1" t="n">
        <v>559.0</v>
      </c>
      <c r="D1744" s="7" t="n">
        <f>HYPERLINK("https://www.somogyi.hu/product/home-bd-5g-bk-banandugo-fekete-muanyag-keresztlyukas-csavarozhato-aranyozott-bd-5g-bk-4766","https://www.somogyi.hu/product/home-bd-5g-bk-banandugo-fekete-muanyag-keresztlyukas-csavarozhato-aranyozott-bd-5g-bk-4766")</f>
        <v>0.0</v>
      </c>
      <c r="E1744" s="7" t="n">
        <f>HYPERLINK("https://www.somogyi.hu/data/img/product_main_images/small/04766.jpg","https://www.somogyi.hu/data/img/product_main_images/small/04766.jpg")</f>
        <v>0.0</v>
      </c>
      <c r="F1744" s="2" t="inlineStr">
        <is>
          <t>5998312742099</t>
        </is>
      </c>
      <c r="G1744" s="4" t="inlineStr">
        <is>
          <t>Az elektromos műszerekhez csakis a legmegbízhatóbb kialakítással rendelkező kellékeket vegye meg!
A BD 5G/BK egy fekete színű műanyag banándugó. A termék aranyozott kivitelben készült, további előnye, hogy csavarozható, illetve, hogy keresztlyukkal van ellátva. Válassza a minőségi termékeket és rendeljen webáruházunkból.</t>
        </is>
      </c>
    </row>
    <row r="1745">
      <c r="A1745" s="3" t="inlineStr">
        <is>
          <t>BD 4/RD</t>
        </is>
      </c>
      <c r="B1745" s="2" t="inlineStr">
        <is>
          <t>Home BD 4/RD banándugó, piros, műanyag, keresztlyukas, csavarozható</t>
        </is>
      </c>
      <c r="C1745" s="1" t="n">
        <v>279.0</v>
      </c>
      <c r="D1745" s="7" t="n">
        <f>HYPERLINK("https://www.somogyi.hu/product/home-bd-4-rd-banandugo-piros-muanyag-keresztlyukas-csavarozhato-bd-4-rd-4278","https://www.somogyi.hu/product/home-bd-4-rd-banandugo-piros-muanyag-keresztlyukas-csavarozhato-bd-4-rd-4278")</f>
        <v>0.0</v>
      </c>
      <c r="E1745" s="7" t="n">
        <f>HYPERLINK("https://www.somogyi.hu/data/img/product_main_images/small/04278.jpg","https://www.somogyi.hu/data/img/product_main_images/small/04278.jpg")</f>
        <v>0.0</v>
      </c>
      <c r="F1745" s="2" t="inlineStr">
        <is>
          <t>5998312709030</t>
        </is>
      </c>
      <c r="G1745" s="4" t="inlineStr">
        <is>
          <t>Az elektromos műszerekhez csakis a legmegbízhatóbb kialakítással rendelkező kellékeket vegye meg!
A BD 4/RD egy piros színű műanyag banándugó. A termék csavarozható, illetve keresztlyukkal van ellátva. Válassza a minőségi termékeket és rendeljen webáruházunkból.</t>
        </is>
      </c>
    </row>
    <row r="1746">
      <c r="A1746" s="3" t="inlineStr">
        <is>
          <t>BD 5G/RD</t>
        </is>
      </c>
      <c r="B1746" s="2" t="inlineStr">
        <is>
          <t>Home BD 5G/RD banándugó, piros, műanyag, keresztlyukas, csavarozható, aranyozott</t>
        </is>
      </c>
      <c r="C1746" s="1" t="n">
        <v>559.0</v>
      </c>
      <c r="D1746" s="7" t="n">
        <f>HYPERLINK("https://www.somogyi.hu/product/home-bd-5g-rd-banandugo-piros-muanyag-keresztlyukas-csavarozhato-aranyozott-bd-5g-rd-4767","https://www.somogyi.hu/product/home-bd-5g-rd-banandugo-piros-muanyag-keresztlyukas-csavarozhato-aranyozott-bd-5g-rd-4767")</f>
        <v>0.0</v>
      </c>
      <c r="E1746" s="7" t="n">
        <f>HYPERLINK("https://www.somogyi.hu/data/img/product_main_images/small/04767.jpg","https://www.somogyi.hu/data/img/product_main_images/small/04767.jpg")</f>
        <v>0.0</v>
      </c>
      <c r="F1746" s="2" t="inlineStr">
        <is>
          <t>5998312742105</t>
        </is>
      </c>
      <c r="G1746" s="4" t="inlineStr">
        <is>
          <t>Az elektromos műszerekhez csakis a legmegbízhatóbb kialakítással rendelkező kellékeket vegye meg!
A BD 5G/RD egy piros színű műanyag banándugó. A termék aranyozott kivitelben készült, további előnye, hogy csavarozható, illetve, hogy keresztlyukkal van ellátva. Válassza a minőségi termékeket és rendeljen webáruházunkból.</t>
        </is>
      </c>
    </row>
    <row r="1747">
      <c r="A1747" s="3" t="inlineStr">
        <is>
          <t>BD 4/BK</t>
        </is>
      </c>
      <c r="B1747" s="2" t="inlineStr">
        <is>
          <t>Home BD 4/BK banándugó, fekete, műanyag, keresztlyukas, csavarozható</t>
        </is>
      </c>
      <c r="C1747" s="1" t="n">
        <v>279.0</v>
      </c>
      <c r="D1747" s="7" t="n">
        <f>HYPERLINK("https://www.somogyi.hu/product/home-bd-4-bk-banandugo-fekete-muanyag-keresztlyukas-csavarozhato-bd-4-bk-4277","https://www.somogyi.hu/product/home-bd-4-bk-banandugo-fekete-muanyag-keresztlyukas-csavarozhato-bd-4-bk-4277")</f>
        <v>0.0</v>
      </c>
      <c r="E1747" s="7" t="n">
        <f>HYPERLINK("https://www.somogyi.hu/data/img/product_main_images/small/04277.jpg","https://www.somogyi.hu/data/img/product_main_images/small/04277.jpg")</f>
        <v>0.0</v>
      </c>
      <c r="F1747" s="2" t="inlineStr">
        <is>
          <t>5998312709023</t>
        </is>
      </c>
      <c r="G1747" s="4" t="inlineStr">
        <is>
          <t>Az elektromos műszerekhez csakis a legmegbízhatóbb kialakítással rendelkező kellékeket vegye meg!
A BD 4/BK egy fekete színű műanyag banándugó. A termék csavarozható, illetve keresztlyukkal van ellátva. Válassza a minőségi termékeket és rendeljen webáruházunkból.</t>
        </is>
      </c>
    </row>
    <row r="1748">
      <c r="A1748" s="3" t="inlineStr">
        <is>
          <t>BA 2/BK</t>
        </is>
      </c>
      <c r="B1748" s="2" t="inlineStr">
        <is>
          <t>Home BA 2/BK banánaljzat, fekete, műanyag, szigetelt, forrasztható</t>
        </is>
      </c>
      <c r="C1748" s="1" t="n">
        <v>229.0</v>
      </c>
      <c r="D1748" s="7" t="n">
        <f>HYPERLINK("https://www.somogyi.hu/product/home-ba-2-bk-bananaljzat-fekete-muanyag-szigetelt-forraszthato-ba-2-bk-2074","https://www.somogyi.hu/product/home-ba-2-bk-bananaljzat-fekete-muanyag-szigetelt-forraszthato-ba-2-bk-2074")</f>
        <v>0.0</v>
      </c>
      <c r="E1748" s="7" t="n">
        <f>HYPERLINK("https://www.somogyi.hu/data/img/product_main_images/small/02074.jpg","https://www.somogyi.hu/data/img/product_main_images/small/02074.jpg")</f>
        <v>0.0</v>
      </c>
      <c r="F1748" s="2" t="inlineStr">
        <is>
          <t>5998312723074</t>
        </is>
      </c>
      <c r="G1748" s="4" t="inlineStr">
        <is>
          <t>Az elektromos műszerekhez csakis a legmegbízhatóbb kialakítással rendelkező kellékeket vegye meg!
A BA 2/BK egy fekete színű műanyag banánaljzat. A termék szigetelt, illetve forrasztható kivitelben készült. Válassza a minőségi termékeket és rendeljen webáruházunkból.</t>
        </is>
      </c>
    </row>
    <row r="1749">
      <c r="A1749" s="3" t="inlineStr">
        <is>
          <t>BA 2/RD</t>
        </is>
      </c>
      <c r="B1749" s="2" t="inlineStr">
        <is>
          <t>Home BA 2/RD banánaljzat, piros, műanyag, szigetelt, forrasztható</t>
        </is>
      </c>
      <c r="C1749" s="1" t="n">
        <v>229.0</v>
      </c>
      <c r="D1749" s="7" t="n">
        <f>HYPERLINK("https://www.somogyi.hu/product/home-ba-2-rd-bananaljzat-piros-muanyag-szigetelt-forraszthato-ba-2-rd-2073","https://www.somogyi.hu/product/home-ba-2-rd-bananaljzat-piros-muanyag-szigetelt-forraszthato-ba-2-rd-2073")</f>
        <v>0.0</v>
      </c>
      <c r="E1749" s="7" t="n">
        <f>HYPERLINK("https://www.somogyi.hu/data/img/product_main_images/small/02073.jpg","https://www.somogyi.hu/data/img/product_main_images/small/02073.jpg")</f>
        <v>0.0</v>
      </c>
      <c r="F1749" s="2" t="inlineStr">
        <is>
          <t>5998312723067</t>
        </is>
      </c>
      <c r="G1749" s="4" t="inlineStr">
        <is>
          <t>Az elektromos műszerekhez csakis a legmegbízhatóbb kialakítással rendelkező kellékeket vegye meg!
A BA 2/RD egy píros színű műanyag banánaljzat. A termék szigetelt, illetve forrasztható kivitelben készült. Válassza a minőségi termékeket és rendeljen webáruházunkból.</t>
        </is>
      </c>
    </row>
    <row r="1750">
      <c r="A1750" s="6" t="inlineStr">
        <is>
          <t xml:space="preserve">   Mérés, szerszám, forrasztás / Forrasztópáka-állomás, tartozék</t>
        </is>
      </c>
      <c r="B1750" s="6" t="inlineStr">
        <is>
          <t/>
        </is>
      </c>
      <c r="C1750" s="6" t="inlineStr">
        <is>
          <t/>
        </is>
      </c>
      <c r="D1750" s="6" t="inlineStr">
        <is>
          <t/>
        </is>
      </c>
      <c r="E1750" s="6" t="inlineStr">
        <is>
          <t/>
        </is>
      </c>
      <c r="F1750" s="6" t="inlineStr">
        <is>
          <t/>
        </is>
      </c>
      <c r="G1750" s="6" t="inlineStr">
        <is>
          <t/>
        </is>
      </c>
    </row>
    <row r="1751">
      <c r="A1751" s="3" t="inlineStr">
        <is>
          <t>SMA 056</t>
        </is>
      </c>
      <c r="B1751" s="2" t="inlineStr">
        <is>
          <t>Home SMA 056 forrasztóhegy SMA 051 és SMA 050 forrasztópáka-állomásokhoz, 0,4-0,8 mm, pont fej</t>
        </is>
      </c>
      <c r="C1751" s="1" t="n">
        <v>829.0</v>
      </c>
      <c r="D1751" s="7" t="n">
        <f>HYPERLINK("https://www.somogyi.hu/product/home-sma-056-forrasztohegy-sma-051-es-sma-050-forrasztopaka-allomasokhoz-0-4-0-8-mm-pont-fej-sma-056-6825","https://www.somogyi.hu/product/home-sma-056-forrasztohegy-sma-051-es-sma-050-forrasztopaka-allomasokhoz-0-4-0-8-mm-pont-fej-sma-056-6825")</f>
        <v>0.0</v>
      </c>
      <c r="E1751" s="7" t="n">
        <f>HYPERLINK("https://www.somogyi.hu/data/img/product_main_images/small/06825.jpg","https://www.somogyi.hu/data/img/product_main_images/small/06825.jpg")</f>
        <v>0.0</v>
      </c>
      <c r="F1751" s="2" t="inlineStr">
        <is>
          <t>5998312758434</t>
        </is>
      </c>
      <c r="G1751" s="4" t="inlineStr">
        <is>
          <t>Keresi a tökéletes forrasztóhegyet aprólékos elektronikai munkákhoz? A Home SMA 056 forrasztóhegy kifejezetten a SMA 051 és SMA 050 forrasztópáka-állomások számára lett tervezve, így biztosítva a legpontosabb forrasztási eredményeket még a legkisebb alkatrészeknél is.
Ez a különleges forrasztóhegy 0,4-0,8 mm átmérőjű pont fejjel rendelkezik, amely ideális választás a precíz és finom munkákhoz, ahol a pontosság elengedhetetlen. A Home SMA 056 forrasztóhegy lehetővé teszi, hogy részletekig menően pontosan forrasszon, legyen szó áramkörök javításáról, kisebb elektronikai eszközök összeszereléséről vagy hobbi elektronikai projektekről.
A hegy kialakítása nemcsak a forrasztási pontosságot javítja, hanem hosszú távú használatot és kiváló hőátvitelt is biztosít, így a forrasztópáka gyorsan és hatékonyan éri el a kívánt hőmérsékletet. Egyszerű cseréjének köszönhetően könnyen fenntartható a forrasztóállomás optimális működése.
Ne engedje, hogy a rossz forrasztóhegyek hátráltassák projektjeit. A Home SMA 056 forrasztóhegy használatával maximális kontrollt és precizitást élvezhet minden forrasztási feladat során.</t>
        </is>
      </c>
    </row>
    <row r="1752">
      <c r="A1752" s="3" t="inlineStr">
        <is>
          <t>SS-306B</t>
        </is>
      </c>
      <c r="B1752" s="2" t="inlineStr">
        <is>
          <t>Pro'skit SS-306B forrasztó állomás, 75W-os, szabályozható hőmérséklet, kerámia fűtőbetét, gyors felfűtés</t>
        </is>
      </c>
      <c r="C1752" s="1" t="n">
        <v>32590.0</v>
      </c>
      <c r="D1752" s="7" t="n">
        <f>HYPERLINK("https://www.somogyi.hu/product/pro-skit-ss-306b-forraszto-allomas-75w-os-szabalyozhato-homerseklet-keramia-futobetet-gyors-felfutes-ss-306b-18562","https://www.somogyi.hu/product/pro-skit-ss-306b-forraszto-allomas-75w-os-szabalyozhato-homerseklet-keramia-futobetet-gyors-felfutes-ss-306b-18562")</f>
        <v>0.0</v>
      </c>
      <c r="E1752" s="7" t="n">
        <f>HYPERLINK("https://www.somogyi.hu/data/img/product_main_images/small/18562.jpg","https://www.somogyi.hu/data/img/product_main_images/small/18562.jpg")</f>
        <v>0.0</v>
      </c>
      <c r="F1752" s="2" t="inlineStr">
        <is>
          <t>5999084965808</t>
        </is>
      </c>
      <c r="G1752" s="4" t="inlineStr">
        <is>
          <t>Olyan forrasztóállomást keres, amely professzionális eredményeket nyújt, és hosszú távon is megbízható? A Home SS306B forrasztóállomás tökéletes választás mind a hobbi elektronikai munkákhoz, mind a professzionális felhasználáshoz. 
Ez a 75 wattos állomás gyors felfűtést biztosít, és a 200–480 °C közötti hőmérséklet tartományban precízen szabályozható, így ideális választás különböző forrasztási feladatokhoz.
Az ESD (elektrosztatikus kisülés elleni védelem) funkcióval ellátott forrasztóállomás megóvja az érzékeny elektronikai alkatrészeket a káros statikus elektromosságtól. A tartós, kerámia fűtőbetét hosszú élettartamot és stabil hőmérséklet-tartást biztosít, míg a szigetelt és ergonomikus markolat kényelmes használatot tesz lehetővé még hosszabb munkafolyamatok során is. 
Az állomás egyszerűen kalibrálható, így mindig pontosan a kívánt hőmérsékletet érheti el. A csomag tartalmaz egy ESD csatlakozókábelt is, amely hozzávetőleg 1,4 méter hosszú, így rugalmasan dolgozhat a munkaállomás körül. További előnye, hogy a készülékhez rendelhető póthegyek (5SI-216N-B1.0 és 5SI-216N-1.6D) is elérhetők, így a különböző forrasztási igényekhez könnyedén igazítható.
Válassza a Home SS306B forrasztóállomást, ha precíz és megbízható eszközre van szüksége a forrasztási munkáihoz, és élvezze a professzionális eredményeket minden használat során!</t>
        </is>
      </c>
    </row>
    <row r="1753">
      <c r="A1753" s="3" t="inlineStr">
        <is>
          <t>SMA 051</t>
        </is>
      </c>
      <c r="B1753" s="2" t="inlineStr">
        <is>
          <t>Home SMA 051 forrasztópáka-állomás, LED kijelző, 230V~/48W, szabályozható és ellenőrizhető hőmérséklet (150 - 420 °C), hőálló szilikonkábel</t>
        </is>
      </c>
      <c r="C1753" s="1" t="n">
        <v>39690.0</v>
      </c>
      <c r="D1753" s="7" t="n">
        <f>HYPERLINK("https://www.somogyi.hu/product/home-sma-051-forrasztopaka-allomas-led-kijelzo-230v-48w-szabalyozhato-es-ellenorizheto-homerseklet-150-420-c-hoallo-szilikonkabel-sma-051-6709","https://www.somogyi.hu/product/home-sma-051-forrasztopaka-allomas-led-kijelzo-230v-48w-szabalyozhato-es-ellenorizheto-homerseklet-150-420-c-hoallo-szilikonkabel-sma-051-6709")</f>
        <v>0.0</v>
      </c>
      <c r="E1753" s="7" t="n">
        <f>HYPERLINK("https://www.somogyi.hu/data/img/product_main_images/small/06709.jpg","https://www.somogyi.hu/data/img/product_main_images/small/06709.jpg")</f>
        <v>0.0</v>
      </c>
      <c r="F1753" s="2" t="inlineStr">
        <is>
          <t>5998312757451</t>
        </is>
      </c>
      <c r="G1753" s="4" t="inlineStr">
        <is>
          <t>Készen áll a forrasztási projektek pontos hőmérséklet-szabályozására? A Home SMA 051 forrasztópáka-állomás az Ön legjobb segítője lesz, mely LED kijelzővel rendelkezik a hőmérséklet pontos beállításához és ellenőrzéséhez 150 és 420 °C között, így biztosítva a kiváló minőségű forrasztást minden egyes alkalommal.
Ez a korszerű eszköz 230V~/48W teljesítmény mellett gyors felfűtést kínál, míg a 3 számjegyű piros LED kijelző lehetővé teszi a hőmérséklet pontos és könnyen olvasható beállítását és nyomon követését a munka során. A hőálló szilikonkábel és a szilikongumi markolat nemcsak a biztonságos használatot, hanem a kényelmet is garantálja hosszú forrasztási munkák során. A cserélhető SMA 5051T páka és a szerszám nélkül cserélhető hegy rugalmasságot biztosít, míg a mellékelt tisztítószivacs és tálca, valamint az állítható pákatartó megkönnyíti a munkaterület rendben tartását.
A Home SMA 051 forrasztópáka-állomás a precízió és a kényelem tökéletes kombinációja minden forrasztási feladathoz.</t>
        </is>
      </c>
    </row>
    <row r="1754">
      <c r="A1754" s="3" t="inlineStr">
        <is>
          <t>SMA 059</t>
        </is>
      </c>
      <c r="B1754" s="2" t="inlineStr">
        <is>
          <t>Home SMA 059 forrasztóhegy SMA 051 és SMA 050 forrasztópáka-állomásokhoz, 1,2 mm, pont fej</t>
        </is>
      </c>
      <c r="C1754" s="1" t="n">
        <v>829.0</v>
      </c>
      <c r="D1754" s="7" t="n">
        <f>HYPERLINK("https://www.somogyi.hu/product/home-sma-059-forrasztohegy-sma-051-es-sma-050-forrasztopaka-allomasokhoz-1-2-mm-pont-fej-sma-059-6828","https://www.somogyi.hu/product/home-sma-059-forrasztohegy-sma-051-es-sma-050-forrasztopaka-allomasokhoz-1-2-mm-pont-fej-sma-059-6828")</f>
        <v>0.0</v>
      </c>
      <c r="E1754" s="7" t="n">
        <f>HYPERLINK("https://www.somogyi.hu/data/img/product_main_images/small/06828.jpg","https://www.somogyi.hu/data/img/product_main_images/small/06828.jpg")</f>
        <v>0.0</v>
      </c>
      <c r="F1754" s="2" t="inlineStr">
        <is>
          <t>5998312758465</t>
        </is>
      </c>
      <c r="G1754" s="4" t="inlineStr">
        <is>
          <t>Keresi a tökéletes eszközt a legapróbb forrasztási feladatokhoz? A Home SMA 059 forrasztóhegy, 1,2 mm-es pont fejjel, kifejezetten az SMA 051 és SMA 050 forrasztópáka-állomások számára lett tervezve, hogy lehetővé tegye számára a precíz forrasztást még a legkisebb alkatrészeknél is.
Ez a speciálisan kialakított forrasztóhegy ideális választás azok számára, akik részletekig menően precíz forrasztási munkát szeretnének végezni. A 1,2 mm-es pont fej tökéletesen alkalmas finom elektronikai javításokra, áramköri lapokon végzett munkálatokra, vagy bármilyen helyzetben, ahol a forrasztási pontosság elengedhetetlen. A pont fej lehetővé teszi, hogy pontosan célozza meg a forrasztandó területeket, csökkentve ezzel a túlmelegedés és a környező alkatrészek károsodásának kockázatát.
A Home SMA 059 forrasztóhegy magas minőségű anyagból készült, amely garantálja a hosszú élettartamot és az optimális hőátadást, biztosítva ezzel a forrasztási munka hatékonyságát és pontosságát. A hegy könnyen cserélhető, így rugalmasan alkalmazkodik a különböző projektigényekhez.
Válassza a Home SMA 059 forrasztóhegyet, és élvezze a kifogástalan forrasztási eredményeket, amelyek megkülönböztetik munkáját.</t>
        </is>
      </c>
    </row>
    <row r="1755">
      <c r="A1755" s="3" t="inlineStr">
        <is>
          <t>SMA 058</t>
        </is>
      </c>
      <c r="B1755" s="2" t="inlineStr">
        <is>
          <t>Home SMA 058 forrasztóhegy SMA 051 és SMA 050 forrasztópáka-állomásokhoz, 1,2 mm, lapos fej</t>
        </is>
      </c>
      <c r="C1755" s="1" t="n">
        <v>829.0</v>
      </c>
      <c r="D1755" s="7" t="n">
        <f>HYPERLINK("https://www.somogyi.hu/product/home-sma-058-forrasztohegy-sma-051-es-sma-050-forrasztopaka-allomasokhoz-1-2-mm-lapos-fej-sma-058-6827","https://www.somogyi.hu/product/home-sma-058-forrasztohegy-sma-051-es-sma-050-forrasztopaka-allomasokhoz-1-2-mm-lapos-fej-sma-058-6827")</f>
        <v>0.0</v>
      </c>
      <c r="E1755" s="7" t="n">
        <f>HYPERLINK("https://www.somogyi.hu/data/img/product_main_images/small/06827.jpg","https://www.somogyi.hu/data/img/product_main_images/small/06827.jpg")</f>
        <v>0.0</v>
      </c>
      <c r="F1755" s="2" t="inlineStr">
        <is>
          <t>5998312758458</t>
        </is>
      </c>
      <c r="G1755" s="4" t="inlineStr">
        <is>
          <t>Szeretne pontosabb és finomabb forrasztási munkát végezni SMA 051 vagy SMA 050 forrasztópáka-állomásával? A Home SMA 058 forrasztóhegy, 1,2 mm-es lapos fejével, kifejezetten azok számára készült, akik a részletesség és a precizitás fontosságát értékelik forrasztási munkáik során.
Ez a különleges forrasztóhegy tökéletesen kompatibilis az SMA 051 és SMA 050 forrasztópáka-állomásokkal, így biztosítva az eszközökkel való tökéletes összhangot és hatékonyságot. A 1,2 mm-es lapos fej kiválóan alkalmas azokra a finom forrasztási feladatokra, ahol a nagy pontosság és a kis forrasztási pontok elérése kulcsfontosságú. Legyen szó elektronikai alkatrészek javításáról vagy kisebb munkákról, ez a forrasztóhegy segít a precíz eredmények elérésében.
A Home SMA 058 forrasztóhegy kiváló minőségű anyagból készült, amely biztosítja a hosszú távú használatot és a megbízható teljesítményt minden alkalmazásban. A lapos fej kialakítása lehetővé teszi a forrasztási hő gyors és egyenletes eloszlását, így biztosítva a forrasztási felületek optimális hőkezelését.
Válassza a Home SMA 058 forrasztóhegyet, hogy SMA 051 vagy SMA 050 forrasztópáka-állomásával kifinomult és pontos forrasztási munkát végezzen.</t>
        </is>
      </c>
    </row>
    <row r="1756">
      <c r="A1756" s="3" t="inlineStr">
        <is>
          <t>SMA 057</t>
        </is>
      </c>
      <c r="B1756" s="2" t="inlineStr">
        <is>
          <t>Home SMA 057 forrasztóhegy SMA 051 és SMA 050 forrasztópáka-állomásokhoz, 3,2 mm, lapos fej</t>
        </is>
      </c>
      <c r="C1756" s="1" t="n">
        <v>829.0</v>
      </c>
      <c r="D1756" s="7" t="n">
        <f>HYPERLINK("https://www.somogyi.hu/product/home-sma-057-forrasztohegy-sma-051-es-sma-050-forrasztopaka-allomasokhoz-3-2-mm-lapos-fej-sma-057-6826","https://www.somogyi.hu/product/home-sma-057-forrasztohegy-sma-051-es-sma-050-forrasztopaka-allomasokhoz-3-2-mm-lapos-fej-sma-057-6826")</f>
        <v>0.0</v>
      </c>
      <c r="E1756" s="7" t="n">
        <f>HYPERLINK("https://www.somogyi.hu/data/img/product_main_images/small/06826.jpg","https://www.somogyi.hu/data/img/product_main_images/small/06826.jpg")</f>
        <v>0.0</v>
      </c>
      <c r="F1756" s="2" t="inlineStr">
        <is>
          <t>5998312758441</t>
        </is>
      </c>
      <c r="G1756" s="4" t="inlineStr">
        <is>
          <t>Van már ideális forrasztóhegye az SMA 051 és SMA 050 forrasztópáka-állomásaihoz szélesebb forrasztási felületekhez? A Home SMA 057 forrasztóhegy pontosan ezt a célt szolgálja, 3,2 mm-es lapos fejével tökéletesen alkalmas nagyobb alkatrészek forrasztására és ahol szélesebb forrasztási felületre van szükség.
Ez a különleges forrasztóhegy kifejezetten az SMA 051 és SMA 050 modellekhez lett tervezve, így garantálva a tökéletes illeszkedést és optimális hőátvitelt. A 3,2 mm-es lapos fej ideális választás azokhoz a forrasztási munkákhoz, ahol a hőnek egyenletesen kell eloszlania egy nagyobb területen, lehetővé téve így a sima és egyenletes forrasztási eredményeket.
A forrasztóhegy könnyen cserélhető, ami lehetővé teszi a felhasználó számára, hogy gyorsan és egyszerűen alkalmazkodjon a különböző forrasztási feladatokhoz. Az SMA 057 forrasztóhegy minőségi anyagból készült, biztosítva a hosszú élettartamot és a megbízható működést minden használat során.
Fedezze fel a Home SMA 057 forrasztóhegy által nyújtott új lehetőségeket, és élvezze a precíz, egyenletes forrasztási eredményeket minden projektjében.</t>
        </is>
      </c>
    </row>
    <row r="1757">
      <c r="A1757" s="3" t="inlineStr">
        <is>
          <t>5SI-216N-1.6D</t>
        </is>
      </c>
      <c r="B1757" s="2" t="inlineStr">
        <is>
          <t>Pro'skit 5SI-216N-1.6D pákahegy, lapos kialakítás, 1.6mm, OFC oxigénmentes réz alapanyag</t>
        </is>
      </c>
      <c r="C1757" s="1" t="n">
        <v>2590.0</v>
      </c>
      <c r="D1757" s="7" t="n">
        <f>HYPERLINK("https://www.somogyi.hu/product/pro-skit-5si-216n-1-6d-pakahegy-lapos-kialakitas-1-6mm-ofc-oxigenmentes-rez-alapanyag-5si-216n-1-6d-18565","https://www.somogyi.hu/product/pro-skit-5si-216n-1-6d-pakahegy-lapos-kialakitas-1-6mm-ofc-oxigenmentes-rez-alapanyag-5si-216n-1-6d-18565")</f>
        <v>0.0</v>
      </c>
      <c r="E1757" s="7" t="n">
        <f>HYPERLINK("https://www.somogyi.hu/data/img/product_main_images/small/18565.jpg","https://www.somogyi.hu/data/img/product_main_images/small/18565.jpg")</f>
        <v>0.0</v>
      </c>
      <c r="F1757" s="2" t="inlineStr">
        <is>
          <t>5999084965839</t>
        </is>
      </c>
      <c r="G1757" s="4" t="inlineStr">
        <is>
          <t>A tökéletes pákahegyet keresi forrasztási munkáihoz? Fedezze fel a Home 5SI-216N-1.6D pákahegyet, mely 1.6 mm-es lapos kialakításával és professzionális minőségével minden igényt kielégít. 
Az OFC oxigénmentes réz alapanyag biztosítja a kiváló hővezetést és megbízhatóságot, míg a háromszoros védőbevonat – vas, nikkel és króm rétegekkel – garantálja a hosszan tartó tartósságot és ellenállást.
Az 5SI-216N-1.6D pákahegy méretei In 4.0 mm / Out 6.3 mm x 43 mm, így tökéletesen illeszkedik a Home SS306B forrasztó állomáshoz, biztosítva a stabil és hatékony munkavégzést. Ez a pákahegy nemcsak hosszú élettartamot, hanem kiváló teljesítményt is nyújt minden forrasztási feladat során.
Ne maradjon le erről a kiváló lehetőségről! Szerezze be a Home 5SI-216N-1.6D pákahegyet még ma, és emelje a forrasztási munkáit egy új szintre!</t>
        </is>
      </c>
    </row>
    <row r="1758">
      <c r="A1758" s="3" t="inlineStr">
        <is>
          <t>5SI-216N-B1.0</t>
        </is>
      </c>
      <c r="B1758" s="2" t="inlineStr">
        <is>
          <t>Pro'skit 5SI-216N-B1.0 pákahegy, pontszerű kialakítás, 1.0mm, OFC oxigénmentes réz alapanyag</t>
        </is>
      </c>
      <c r="C1758" s="1" t="n">
        <v>2590.0</v>
      </c>
      <c r="D1758" s="7" t="n">
        <f>HYPERLINK("https://www.somogyi.hu/product/pro-skit-5si-216n-b1-0-pakahegy-pontszeru-kialakitas-1-0mm-ofc-oxigenmentes-rez-alapanyag-5si-216n-b1-0-18563","https://www.somogyi.hu/product/pro-skit-5si-216n-b1-0-pakahegy-pontszeru-kialakitas-1-0mm-ofc-oxigenmentes-rez-alapanyag-5si-216n-b1-0-18563")</f>
        <v>0.0</v>
      </c>
      <c r="E1758" s="7" t="n">
        <f>HYPERLINK("https://www.somogyi.hu/data/img/product_main_images/small/18563.jpg","https://www.somogyi.hu/data/img/product_main_images/small/18563.jpg")</f>
        <v>0.0</v>
      </c>
      <c r="F1758" s="2" t="inlineStr">
        <is>
          <t>5999084965815</t>
        </is>
      </c>
      <c r="G1758" s="4" t="inlineStr">
        <is>
          <t>A tökéletes pákahegyet keresi forrasztási munkáihoz? Fedezze fel a Home 5SI-216N-B1.0 pákahegyet, mely 1.0 mm-es pontszerű kialakításával és professzionális minőségével minden igényt kielégít. 
Az OFC oxigénmentes réz alapanyag biztosítja a kiváló hővezetést és megbízhatóságot, míg a háromszoros védőbevonat – vas, nikkel és króm rétegekkel – garantálja a hosszan tartó tartósságot és ellenállást.
Az 5SI-216N-B1.0 pákahegy méretei In 4.0 mm / Out 6.3 mm x 43 mm, így tökéletesen illeszkedik a Home SS306B forrasztó állomáshoz, biztosítva a stabil és hatékony munkavégzést. Ez a pákahegy nemcsak hosszú élettartamot, hanem kiváló teljesítményt is nyújt minden forrasztási feladat során.
Ne maradjon le erről a kiváló lehetőségről! Szerezze be a Home 5SI-216N-B1.0 pákahegyet még ma, és emelje a forrasztási munkáit egy új szintre!</t>
        </is>
      </c>
    </row>
    <row r="1759">
      <c r="A1759" s="3" t="inlineStr">
        <is>
          <t>SMA 5051T</t>
        </is>
      </c>
      <c r="B1759" s="2" t="inlineStr">
        <is>
          <t>Home SMA 5051T cserélhető páka, Home SMA 050, 051-hez</t>
        </is>
      </c>
      <c r="C1759" s="1" t="n">
        <v>5490.0</v>
      </c>
      <c r="D1759" s="7" t="n">
        <f>HYPERLINK("https://www.somogyi.hu/product/home-sma-5051t-cserelheto-paka-home-sma-050-051-hez-sma-5051t-9770","https://www.somogyi.hu/product/home-sma-5051t-cserelheto-paka-home-sma-050-051-hez-sma-5051t-9770")</f>
        <v>0.0</v>
      </c>
      <c r="E1759" s="7" t="n">
        <f>HYPERLINK("https://www.somogyi.hu/data/img/product_main_images/small/09770.jpg","https://www.somogyi.hu/data/img/product_main_images/small/09770.jpg")</f>
        <v>0.0</v>
      </c>
      <c r="F1759" s="2" t="inlineStr">
        <is>
          <t>5998312784990</t>
        </is>
      </c>
      <c r="G1759" s="4" t="inlineStr">
        <is>
          <t>Szeretné a forrasztási feladatokat még rugalmasabbá és hatékonyabbá tenni? A Home SMA 5051T cserélhető páka pontosan ezt kínálja az SMA 051 forrasztópáka-állomáshoz, lehetővé téve a gyors és egyszerű pákacsere lehetőségét a különböző projektek igényei szerint.
Ez a kiváló minőségű cserélhető páka tökéletes választás mindazok számára, akik szeretnék maximalizálni SMA 051 forrasztópáka-állomásuk teljesítményét és sokoldalúságát. A cserélhető páka lehetővé teszi, hogy gyorsan alkalmazkodjon a különféle forrasztási feladatokhoz, legyen szó akár finom elektronikai javításokról, akár nagyobb összeszerelési projektekről.
A Home SMA 5051T páka kiváló hőátadási képességgel rendelkezik, biztosítva a gyors és egyenletes felfűtést. Ez a jellemző különösen fontos a precíz és megbízható forrasztási eredmények elérése szempontjából. A könnyű cserélhetőség nemcsak időt takarít meg, hanem növeli a munkafolyamat hatékonyságát is.
Változtassa meg a forrasztási módját a Home SMA 5051T cserélhető pákával, és tapasztalja meg a rugalmasság, a precizitás és a hatékonyság új dimenzióját.</t>
        </is>
      </c>
    </row>
    <row r="1760">
      <c r="A1760" s="6" t="inlineStr">
        <is>
          <t xml:space="preserve">   Mérés, szerszám, forrasztás / Forrasztópáka, gázpáka, pisztolypáka</t>
        </is>
      </c>
      <c r="B1760" s="6" t="inlineStr">
        <is>
          <t/>
        </is>
      </c>
      <c r="C1760" s="6" t="inlineStr">
        <is>
          <t/>
        </is>
      </c>
      <c r="D1760" s="6" t="inlineStr">
        <is>
          <t/>
        </is>
      </c>
      <c r="E1760" s="6" t="inlineStr">
        <is>
          <t/>
        </is>
      </c>
      <c r="F1760" s="6" t="inlineStr">
        <is>
          <t/>
        </is>
      </c>
      <c r="G1760" s="6" t="inlineStr">
        <is>
          <t/>
        </is>
      </c>
    </row>
    <row r="1761">
      <c r="A1761" s="3" t="inlineStr">
        <is>
          <t>FP 30W</t>
        </is>
      </c>
      <c r="B1761" s="2" t="inlineStr">
        <is>
          <t>Home FP 30W forrasztópáka, 30W, 230V, páka hossza: 240 mm, tartozék asztali támaszték, minőségi csatlakozókábel törésgátlóval</t>
        </is>
      </c>
      <c r="C1761" s="1" t="n">
        <v>4290.0</v>
      </c>
      <c r="D1761" s="7" t="n">
        <f>HYPERLINK("https://www.somogyi.hu/product/home-fp-30w-forrasztopaka-30w-230v-paka-hossza-240-mm-tartozek-asztali-tamasztek-minosegi-csatlakozokabel-toresgatloval-fp-30w-3274","https://www.somogyi.hu/product/home-fp-30w-forrasztopaka-30w-230v-paka-hossza-240-mm-tartozek-asztali-tamasztek-minosegi-csatlakozokabel-toresgatloval-fp-30w-3274")</f>
        <v>0.0</v>
      </c>
      <c r="E1761" s="7" t="n">
        <f>HYPERLINK("https://www.somogyi.hu/data/img/product_main_images/small/03274.jpg","https://www.somogyi.hu/data/img/product_main_images/small/03274.jpg")</f>
        <v>0.0</v>
      </c>
      <c r="F1761" s="2" t="inlineStr">
        <is>
          <t>5998312735985</t>
        </is>
      </c>
      <c r="G1761" s="4" t="inlineStr">
        <is>
          <t>Keresi az ideális forrasztópákát otthoni elektronikai projektekhez? A Home FP 30W forrasztópáka tökéletes választás minden amatőr és haladó elektronikai hobbista számára, akik egy megbízható, könnyen használható eszközt keresnek forrasztási munkáikhoz.
Ez a 230V~/30W teljesítményű forrasztópáka 240 mm hosszúságú, így ideális méretet biztosít kényelmes használatra. A csomag tartalmaz egy praktikus asztali támasztékot, amely biztosítja a forrasztópáka stabil elhelyezését munka közben vagy pihenőidőben, megelőzve ezzel a véletlen égési sérüléseket. A minőségi csatlakozókábel törésgátlóval rendelkezik, ami növeli a termék élettartamát és biztonságát, miközben megvédi a kábelt a gyakori hajlítgatás okozta sérülésektől.
A Home FP 30W forrasztópáka az a tökéletes eszköz, amelyre szüksége van, hogy projektjeit precízen és hatékonyan valósíthassa meg.</t>
        </is>
      </c>
    </row>
    <row r="1762">
      <c r="A1762" s="3" t="inlineStr">
        <is>
          <t>FPL 80T</t>
        </is>
      </c>
      <c r="B1762" s="2" t="inlineStr">
        <is>
          <t>Home FPL 80T pákahegy szett az FPL 80W forrasztópákához, 5 féle különböző kialakítással, nikkelezett, 5 db forrasztócsúcs, 5x ~∅6x41 mm</t>
        </is>
      </c>
      <c r="C1762" s="1" t="n">
        <v>2490.0</v>
      </c>
      <c r="D1762" s="7" t="n">
        <f>HYPERLINK("https://www.somogyi.hu/product/home-fpl-80t-pakahegy-szett-az-fpl-80w-forrasztopakahoz-5-fele-kulonbozo-kialakitassal-nikkelezett-5-db-forrasztocsucs-5x-6x41-mm-fpl-80t-17944","https://www.somogyi.hu/product/home-fpl-80t-pakahegy-szett-az-fpl-80w-forrasztopakahoz-5-fele-kulonbozo-kialakitassal-nikkelezett-5-db-forrasztocsucs-5x-6x41-mm-fpl-80t-17944")</f>
        <v>0.0</v>
      </c>
      <c r="E1762" s="7" t="n">
        <f>HYPERLINK("https://www.somogyi.hu/data/img/product_main_images/small/17944.jpg","https://www.somogyi.hu/data/img/product_main_images/small/17944.jpg")</f>
        <v>0.0</v>
      </c>
      <c r="F1762" s="2" t="inlineStr">
        <is>
          <t>5999084959661</t>
        </is>
      </c>
      <c r="G1762" s="4" t="inlineStr">
        <is>
          <t>Szüksége van egy sokoldalú pákahegy készletre, amellyel bármilyen forrasztási feladatot könnyedén elvégezhet?
A Home FPL 80T pákahegy szett ideális kiegészítője az FPL 80W forrasztópákának, amelyet kifejezetten a precíz és megbízható forrasztási munkákhoz terveztek. A készlet 5 különböző kialakítású forrasztócsúcsot tartalmaz, amelyek lehetővé teszik a sokoldalú felhasználást különféle forrasztási feladatoknál, legyen szó finom elektronikáról vagy nagyobb felületek forrasztásáról.
Sokoldalú felhasználási lehetőségek
A csomagban található 5 különböző alakú pákahegy különféle felhasználási területekhez készült, így mindig az adott munkához legjobban illeszkedő hegyet választhatja. Az eltérő méretű és formájú hegyek alkalmasak precíziós forrasztásokhoz, finom részletek kidolgozásához, valamint nagyobb felületek gyors forrasztásához is, így garantáltan megkönnyítik a munkát.
Kiváló minőségű, tartós anyaghasználat
A forrasztóhegyek nikkelezett réz és vas anyagból készültek, amely nemcsak a kiváló hővezetést biztosítja, hanem a hosszabb élettartamot is garantálja. A nikkelbevonat ellenáll a korróziónak, így a pákahegyek kevésbé kopnak el, és hosszabb ideig megtartják eredeti formájukat, ezáltal biztosítva a pontos és hatékony forrasztást.
Precíz méretezés az optimális illeszkedés érdekében
A pákahegyek átmérője 6 mm, hosszuk 41 mm, így kizárólag az FPL 80W forrasztópákával kompatibilisek. Az optimális illeszkedés garantálja a stabil rögzítést és a hatékony hőátadást, amely elengedhetetlen a precíz forrasztáshoz.
Miért érdemes a Home FPL 80T pákahegy szettet választani?
– 5 különböző kialakítású pákahegy a változatos forrasztási feladatokhoz
– Nikkelezett réz és vas anyag, amely garantálja a hosszabb élettartamot
– Kiváló hővezetés a pontos és hatékony forrasztási munkákhoz
– Precízen illeszkedő, 6 mm átmérőjű hegyek az FPL 80W forrasztópákához
– Sokoldalúan alkalmazható, legyen szó finom elektronikáról vagy nagyobb alkatrészek forrasztásáról
A Home FPL 80T pákahegy szett segítségével könnyedén és hatékonyan végezheti el bármilyen forrasztási feladatát. Növelje forrasztópákája funkcionalitását ezzel a sokoldalú és tartós készlettel, amely garantáltan megkönnyíti a munkavégzést, és biztosítja a pontos végeredményt minden alkalommal!</t>
        </is>
      </c>
    </row>
    <row r="1763">
      <c r="A1763" s="3" t="inlineStr">
        <is>
          <t>FP 80W</t>
        </is>
      </c>
      <c r="B1763" s="2" t="inlineStr">
        <is>
          <t>Home FP 80W forrasztópáka, 80W, 230V, páka hossza: 290 mm, tartozék asztali támaszték, minőségi csatlakozókábel törésgátlóval</t>
        </is>
      </c>
      <c r="C1763" s="1" t="n">
        <v>5690.0</v>
      </c>
      <c r="D1763" s="7" t="n">
        <f>HYPERLINK("https://www.somogyi.hu/product/home-fp-80w-forrasztopaka-80w-230v-paka-hossza-290-mm-tartozek-asztali-tamasztek-minosegi-csatlakozokabel-toresgatloval-fp-80w-3276","https://www.somogyi.hu/product/home-fp-80w-forrasztopaka-80w-230v-paka-hossza-290-mm-tartozek-asztali-tamasztek-minosegi-csatlakozokabel-toresgatloval-fp-80w-3276")</f>
        <v>0.0</v>
      </c>
      <c r="E1763" s="7" t="n">
        <f>HYPERLINK("https://www.somogyi.hu/data/img/product_main_images/small/03276.jpg","https://www.somogyi.hu/data/img/product_main_images/small/03276.jpg")</f>
        <v>0.0</v>
      </c>
      <c r="F1763" s="2" t="inlineStr">
        <is>
          <t>5998312736005</t>
        </is>
      </c>
      <c r="G1763" s="4" t="inlineStr">
        <is>
          <t>Keresi az ideális forrasztópákát otthoni elektronikai projektekhez? A Home FP 80W forrasztópáka tökéletes választás minden amatőr és haladó elektronikai hobbista számára, akik egy megbízható, könnyen használható eszközt keresnek forrasztási munkáikhoz.
Ez a 230V~/80W teljesítményű forrasztópáka 290 mm hosszúságú, így ideális méretet biztosít kényelmes használatra. A csomag tartalmaz egy praktikus asztali támasztékot, amely biztosítja a forrasztópáka stabil elhelyezését munka közben vagy pihenőidőben, megelőzve ezzel a véletlen égési sérüléseket. A minőségi csatlakozókábel törésgátlóval rendelkezik, ami növeli a termék élettartamát és biztonságát, miközben megvédi a kábelt a gyakori hajlítgatás okozta sérülésektől.
A Home FP 80W forrasztópáka az a tökéletes eszköz, amelyre szüksége van, hogy projektjeit precízen és hatékonyan valósíthassa meg.</t>
        </is>
      </c>
    </row>
    <row r="1764">
      <c r="A1764" s="3" t="inlineStr">
        <is>
          <t>SG 109</t>
        </is>
      </c>
      <c r="B1764" s="2" t="inlineStr">
        <is>
          <t>Home SG 109 pisztolypáka, 100W/230V~, gyors felfűtés, beépített izzó, szerszám nélkül cserélhető hegy</t>
        </is>
      </c>
      <c r="C1764" s="1" t="n">
        <v>7290.0</v>
      </c>
      <c r="D1764" s="7" t="n">
        <f>HYPERLINK("https://www.somogyi.hu/product/home-sg-109-pisztolypaka-100w-230v-gyors-felfutes-beepitett-izzo-szerszam-nelkul-cserelheto-hegy-sg-109-6708","https://www.somogyi.hu/product/home-sg-109-pisztolypaka-100w-230v-gyors-felfutes-beepitett-izzo-szerszam-nelkul-cserelheto-hegy-sg-109-6708")</f>
        <v>0.0</v>
      </c>
      <c r="E1764" s="7" t="n">
        <f>HYPERLINK("https://www.somogyi.hu/data/img/product_main_images/small/06708.jpg","https://www.somogyi.hu/data/img/product_main_images/small/06708.jpg")</f>
        <v>0.0</v>
      </c>
      <c r="F1764" s="2" t="inlineStr">
        <is>
          <t>5998312757444</t>
        </is>
      </c>
      <c r="G1764" s="4" t="inlineStr">
        <is>
          <t>Szeretne egy erős és megbízható pisztolypákát, ami gyorsan felfűt? A Home SG 109 pisztolypáka kiváló választás azok számára, akik egy hatékony, 100W/230V teljesítményű forrasztóeszközt keresnek, ami gyorsan készen áll minden forrasztási feladatra.
Ez a pisztolypáka kiemelkedik a gyors felfűtési képességével, amely lehetővé teszi, hogy rövid idő alatt elkezdhesse a forrasztási munkát. A beépített izzó biztosítja a munkaterület megfelelő megvilágítását, így még a nehezen hozzáférhető helyeken is pontosan láthatja, mit csinál. Az egyszerű használatot tovább növeli a szerszám nélkül cserélhető hegy, ami lehetővé teszi, hogy gyorsan és egyszerűen alkalmazkodjon a különböző forrasztási feladatokhoz anélkül, hogy külön szerszámokat kellene használnia.
A Home SG 109 pisztolypáka az ideális eszköz minden hobbista és professzionális felhasználó számára, aki gyors, hatékony és pontos forrasztást szeretne.</t>
        </is>
      </c>
    </row>
    <row r="1765">
      <c r="A1765" s="3" t="inlineStr">
        <is>
          <t>PP 2</t>
        </is>
      </c>
      <c r="B1765" s="2" t="inlineStr">
        <is>
          <t>Home PP 2 forrasztópisztoly készlet, 75W/230V~/50Hz, beépített LED világítás, 1+5 db tartós, nikkelezett réz forrasztócsúcs</t>
        </is>
      </c>
      <c r="C1765" s="1" t="n">
        <v>20290.0</v>
      </c>
      <c r="D1765" s="7" t="n">
        <f>HYPERLINK("https://www.somogyi.hu/product/home-pp-2-forrasztopisztoly-keszlet-75w-230v-50hz-beepitett-led-vilagitas-1-5-db-tartos-nikkelezett-rez-forrasztocsucs-pp-2-2868","https://www.somogyi.hu/product/home-pp-2-forrasztopisztoly-keszlet-75w-230v-50hz-beepitett-led-vilagitas-1-5-db-tartos-nikkelezett-rez-forrasztocsucs-pp-2-2868")</f>
        <v>0.0</v>
      </c>
      <c r="E1765" s="7" t="n">
        <f>HYPERLINK("https://www.somogyi.hu/data/img/product_main_images/small/02868.jpg","https://www.somogyi.hu/data/img/product_main_images/small/02868.jpg")</f>
        <v>0.0</v>
      </c>
      <c r="F1765" s="2" t="inlineStr">
        <is>
          <t>5998312731925</t>
        </is>
      </c>
      <c r="G1765" s="4" t="inlineStr">
        <is>
          <t>Szüksége van egy megbízható és tartós forrasztópisztolyra, amely még a nehezebb munkákat is könnyedén elvégzi?
A Home PP 2 forrasztópisztoly készlet a precíziós munkák tökéletes eszköze, amely európai minőségű, cseh gyártmányként garantálja a megbízhatóságot és hosszú élettartamot. Ez a 75 W teljesítményű forrasztópisztoly nemcsak erőteljes, hanem praktikus is, hiszen beépített LED világítással segíti a pontos munkavégzést még rosszabb fényviszonyok között is.
Kiemelkedő jellemzők és funkciók:
- 75 W teljesítmény: A 75 W-os fűtőteljesítmény lehetővé teszi, hogy a forrasztás gyorsan és hatékonyan történjen, így időt takaríthat meg munka közben.
- Beépített LED világítás: A beépített LED fényforrás biztosítja, hogy a legapróbb részleteket is jól lássa, így a precíz forrasztások is könnyedén kivitelezhetők.
- Tartós forrasztócsúcsok: A készlethez 1+5 db nikkelezett réz forrasztócsúcs tartozik, amelyeket hosszú élettartamra terveztek. A nikkelezett bevonat csökkenti a kopást és növeli a csúcsok hőállóságát.
- Hosszú csatlakozókábel: Az 1,8 méteres csatlakozókábel bőséges mozgásteret biztosít, így kényelmesebbé teszi a munkát akár nagyobb munkaterületeken is.
- Ergonómikus kialakítás: A pisztoly formájú kialakítás kényelmes fogást és könnyű használatot garantál, így akár hosszabb munkafolyamatok során is kézre áll.
Európai minőség, megbízható működés
Legyen szó hobbi elektronikáról, javítási munkákról vagy professzionális forrasztásról, a Home PP 2 forrasztópisztoly készlet minden helyzetben kiváló választás. Az erős teljesítmény, a tartós anyagok és a praktikus LED világítás együttesen biztosítják, hogy a munka gyorsan és pontosan elvégezhető legyen. Válassza a Home PP 2 forrasztópisztoly készletet, hogy a forrasztási feladatok többé ne jelentsenek kihívást!</t>
        </is>
      </c>
    </row>
    <row r="1766">
      <c r="A1766" s="3" t="inlineStr">
        <is>
          <t>SG109-150</t>
        </is>
      </c>
      <c r="B1766" s="2" t="inlineStr">
        <is>
          <t>Home SG109-150 forrasztó pisztoly, gyors felfűtés, beépített világítás, 150W</t>
        </is>
      </c>
      <c r="C1766" s="1" t="n">
        <v>11290.0</v>
      </c>
      <c r="D1766" s="7" t="n">
        <f>HYPERLINK("https://www.somogyi.hu/product/home-sg109-150-forraszto-pisztoly-gyors-felfutes-beepitett-vilagitas-150w-sg109-150-18516","https://www.somogyi.hu/product/home-sg109-150-forraszto-pisztoly-gyors-felfutes-beepitett-vilagitas-150w-sg109-150-18516")</f>
        <v>0.0</v>
      </c>
      <c r="E1766" s="7" t="n">
        <f>HYPERLINK("https://www.somogyi.hu/data/img/product_main_images/small/18516.jpg","https://www.somogyi.hu/data/img/product_main_images/small/18516.jpg")</f>
        <v>0.0</v>
      </c>
      <c r="F1766" s="2" t="inlineStr">
        <is>
          <t>5999084965341</t>
        </is>
      </c>
      <c r="G1766" s="4" t="inlineStr">
        <is>
          <t>Olyan forrasztópisztolyt keres, amely gyorsan felfűt, és megbízhatóan teljesít nagy hőigényű munkák során is? A Home SG109-150 forrasztópisztoly 150 Wattos teljesítményével és beépített világításával ideális választás mind a hobbi, mind a profi felhasználók számára. 
Ez a nagyteljesítményű forrasztópisztoly 230 V-os tápellátással működik, így garantáltan gyors felfűtést biztosít, ami különösen hasznos, ha azonnal neki kell állnia a munkának. A pisztoly hosszú élettartamú, nikkelezett réz forrasztócsúccsal van felszerelve, amely nemcsak tartós, hanem szerszám nélkül is könnyen cserélhető, így a karbantartás egyszerű és gyors. A beépített világítás lehetővé teszi, hogy a legapróbb részleteket is pontosan láthassa, ami különösen előnyös gyengén megvilágított munkaterületeken. 
A pisztolyhoz ajándékba kap 1+1 izzót, így mindig rendelkezésére áll tartalék, ha szüksége lenne rá. A Home SG109-150 forrasztópisztoly kialakítása révén tökéletes választás a nagy hőigényű munkákhoz, legyen szó akár elektromos javításokról, akár bármilyen más forrasztási feladatról. A gyors felfűtésnek és a könnyen cserélhető forrasztócsúcsnak köszönhetően ez a pisztoly maximális hatékonyságot és kényelmet biztosít minden munkafázisban.
Válassza a Home SG109-150 forrasztópisztolyt, hogy minden forrasztási feladatot gyorsan és precízen végezhessen el – megbízhatóság és professzionális eredmények, egyetlen eszközben!</t>
        </is>
      </c>
    </row>
    <row r="1767">
      <c r="A1767" s="3" t="inlineStr">
        <is>
          <t>FPH 6</t>
        </is>
      </c>
      <c r="B1767" s="2" t="inlineStr">
        <is>
          <t>Home FPH 6 egyenes hegy FP 60W-os pákához, átmérő: 6 mm</t>
        </is>
      </c>
      <c r="C1767" s="1" t="n">
        <v>779.0</v>
      </c>
      <c r="D1767" s="7" t="n">
        <f>HYPERLINK("https://www.somogyi.hu/product/home-fph-6-egyenes-hegy-fp-60w-os-pakahoz-atmero-6-mm-fph-6-2586","https://www.somogyi.hu/product/home-fph-6-egyenes-hegy-fp-60w-os-pakahoz-atmero-6-mm-fph-6-2586")</f>
        <v>0.0</v>
      </c>
      <c r="E1767" s="7" t="n">
        <f>HYPERLINK("https://www.somogyi.hu/data/img/product_main_images/small/02586.jpg","https://www.somogyi.hu/data/img/product_main_images/small/02586.jpg")</f>
        <v>0.0</v>
      </c>
      <c r="F1767" s="2" t="inlineStr">
        <is>
          <t>5998312729007</t>
        </is>
      </c>
      <c r="G1767" s="4" t="inlineStr">
        <is>
          <t>Van már megfelelő hegye a Home FP 60W-os forrasztópákájához a precíz munkákhoz? A Home FPH 6 egyenes hegy tökéletes választás azok számára, akik a Home FP 60W-os forrasztópákájukhoz keresnek kiváló minőségű, pontos hegyet kisebb forrasztási feladatokhoz.
Ez a 6 mm átmérőjű egyenes hegy ideális eszközzé teszi a Home FP 60W-os forrasztópákát a finom elektronikai munkákhoz, lehetővé téve a felhasználó számára, hogy precízen dolgozhasson kis alkatrészekkel vagy szűk helyeken. A hegy kialakítása biztosítja a gyors hőátadást, ami lehetővé teszi a forrasztópáka hatékony használatát, miközben csökkenti a hő által okozott károsodás kockázatát az érzékeny elektronikai komponenseken.
Tegye forrasztási munkáját egyszerűbbé és pontosabbá a Home FPH 6 egyenes hegy használatával a Home FP 60W-os forrasztópákájához.</t>
        </is>
      </c>
    </row>
    <row r="1768">
      <c r="A1768" s="3" t="inlineStr">
        <is>
          <t>FPH 4</t>
        </is>
      </c>
      <c r="B1768" s="2" t="inlineStr">
        <is>
          <t>Home FPH 4 egyenes hegy FP 30W-os pákához, átmérő: 4 mm</t>
        </is>
      </c>
      <c r="C1768" s="1" t="n">
        <v>539.0</v>
      </c>
      <c r="D1768" s="7" t="n">
        <f>HYPERLINK("https://www.somogyi.hu/product/home-fph-4-egyenes-hegy-fp-30w-os-pakahoz-atmero-4-mm-fph-4-2585","https://www.somogyi.hu/product/home-fph-4-egyenes-hegy-fp-30w-os-pakahoz-atmero-4-mm-fph-4-2585")</f>
        <v>0.0</v>
      </c>
      <c r="E1768" s="7" t="n">
        <f>HYPERLINK("https://www.somogyi.hu/data/img/product_main_images/small/02585.jpg","https://www.somogyi.hu/data/img/product_main_images/small/02585.jpg")</f>
        <v>0.0</v>
      </c>
      <c r="F1768" s="2" t="inlineStr">
        <is>
          <t>5998312728994</t>
        </is>
      </c>
      <c r="G1768" s="4" t="inlineStr">
        <is>
          <t>Van már megfelelő hegye a Home FP 30W-os forrasztópákájához a precíz munkákhoz? A Home FPH 4 egyenes hegy tökéletes választás azok számára, akik a Home FP 30W-os forrasztópákájukhoz keresnek kiváló minőségű, pontos hegyet kisebb forrasztási feladatokhoz.
Ez a 4 mm átmérőjű egyenes hegy ideális eszközzé teszi a Home FP 30W-os forrasztópákát a finom elektronikai munkákhoz, lehetővé téve a felhasználó számára, hogy precízen dolgozhasson kis alkatrészekkel vagy szűk helyeken. A hegy kialakítása biztosítja a gyors hőátadást, ami lehetővé teszi a forrasztópáka hatékony használatát, miközben csökkenti a hő által okozott károsodás kockázatát az érzékeny elektronikai komponenseken.
Tegye forrasztási munkáját egyszerűbbé és pontosabbá a Home FPH 4 egyenes hegy használatával a Home FP 30W-os forrasztópákájához.</t>
        </is>
      </c>
    </row>
    <row r="1769">
      <c r="A1769" s="3" t="inlineStr">
        <is>
          <t>FP 60W</t>
        </is>
      </c>
      <c r="B1769" s="2" t="inlineStr">
        <is>
          <t>Home FP 60W forrasztópáka, 60W, 230V, páka hossza: 270 mm, tartozék asztali támaszték, minőségi csatlakozókábel törésgátlóval</t>
        </is>
      </c>
      <c r="C1769" s="1" t="n">
        <v>4990.0</v>
      </c>
      <c r="D1769" s="7" t="n">
        <f>HYPERLINK("https://www.somogyi.hu/product/home-fp-60w-forrasztopaka-60w-230v-paka-hossza-270-mm-tartozek-asztali-tamasztek-minosegi-csatlakozokabel-toresgatloval-fp-60w-3275","https://www.somogyi.hu/product/home-fp-60w-forrasztopaka-60w-230v-paka-hossza-270-mm-tartozek-asztali-tamasztek-minosegi-csatlakozokabel-toresgatloval-fp-60w-3275")</f>
        <v>0.0</v>
      </c>
      <c r="E1769" s="7" t="n">
        <f>HYPERLINK("https://www.somogyi.hu/data/img/product_main_images/small/03275.jpg","https://www.somogyi.hu/data/img/product_main_images/small/03275.jpg")</f>
        <v>0.0</v>
      </c>
      <c r="F1769" s="2" t="inlineStr">
        <is>
          <t>5998312735992</t>
        </is>
      </c>
      <c r="G1769" s="4" t="inlineStr">
        <is>
          <t>Keresi az ideális forrasztópákát otthoni elektronikai projektekhez? A Home FP 60W forrasztópáka tökéletes választás minden amatőr és haladó elektronikai hobbista számára, akik egy megbízható, könnyen használható eszközt keresnek forrasztási munkáikhoz.
Ez a 230V~/60W teljesítményű forrasztópáka 270 mm hosszúságú, így ideális méretet biztosít kényelmes használatra. A csomag tartalmaz egy praktikus asztali támasztékot, amely biztosítja a forrasztópáka stabil elhelyezését munka közben vagy pihenőidőben, megelőzve ezzel a véletlen égési sérüléseket. A minőségi csatlakozókábel törésgátlóval rendelkezik, ami növeli a termék élettartamát és biztonságát, miközben megvédi a kábelt a gyakori hajlítgatás okozta sérülésektől.
A Home FP 60W forrasztópáka az a tökéletes eszköz, amelyre szüksége van, hogy projektjeit precízen és hatékonyan valósíthassa meg.</t>
        </is>
      </c>
    </row>
    <row r="1770">
      <c r="A1770" s="3" t="inlineStr">
        <is>
          <t>FPH 7</t>
        </is>
      </c>
      <c r="B1770" s="2" t="inlineStr">
        <is>
          <t>Home FPH 7 egyenes hegy FP 80W-os pákához, átmérő: 7 mm</t>
        </is>
      </c>
      <c r="C1770" s="1" t="n">
        <v>1090.0</v>
      </c>
      <c r="D1770" s="7" t="n">
        <f>HYPERLINK("https://www.somogyi.hu/product/home-fph-7-egyenes-hegy-fp-80w-os-pakahoz-atmero-7-mm-fph-7-2606","https://www.somogyi.hu/product/home-fph-7-egyenes-hegy-fp-80w-os-pakahoz-atmero-7-mm-fph-7-2606")</f>
        <v>0.0</v>
      </c>
      <c r="E1770" s="7" t="n">
        <f>HYPERLINK("https://www.somogyi.hu/data/img/product_main_images/small/02606.jpg","https://www.somogyi.hu/data/img/product_main_images/small/02606.jpg")</f>
        <v>0.0</v>
      </c>
      <c r="F1770" s="2" t="inlineStr">
        <is>
          <t>5998312729212</t>
        </is>
      </c>
      <c r="G1770" s="4" t="inlineStr">
        <is>
          <t>Van már megfelelő hegye a Home FP 80W-os forrasztópákájához a precíz munkákhoz? A Home FPH 7 egyenes hegy tökéletes választás azok számára, akik a Home FP 80W-os forrasztópákájukhoz keresnek kiváló minőségű, pontos hegyet kisebb forrasztási feladatokhoz.
Ez a 7 mm átmérőjű egyenes hegy ideális eszközzé teszi a Home FP 80W-os forrasztópákát a finom elektronikai munkákhoz, lehetővé téve a felhasználó számára, hogy precízen dolgozhasson kis alkatrészekkel vagy szűk helyeken. A hegy kialakítása biztosítja a gyors hőátadást, ami lehetővé teszi a forrasztópáka hatékony használatát, miközben csökkenti a hő által okozott károsodás kockázatát az érzékeny elektronikai komponenseken.
Tegye forrasztási munkáját egyszerűbbé és pontosabbá a Home FPH 7 egyenes hegy használatával a Home FP 80W-os forrasztópákájához.</t>
        </is>
      </c>
    </row>
    <row r="1771">
      <c r="A1771" s="3" t="inlineStr">
        <is>
          <t>SG 109T</t>
        </is>
      </c>
      <c r="B1771" s="2" t="inlineStr">
        <is>
          <t>Home SG 109T póthegy SG 109 pákához</t>
        </is>
      </c>
      <c r="C1771" s="1" t="n">
        <v>719.0</v>
      </c>
      <c r="D1771" s="7" t="n">
        <f>HYPERLINK("https://www.somogyi.hu/product/home-sg-109t-pothegy-sg-109-pakahoz-sg-109t-6823","https://www.somogyi.hu/product/home-sg-109t-pothegy-sg-109-pakahoz-sg-109t-6823")</f>
        <v>0.0</v>
      </c>
      <c r="E1771" s="7" t="n">
        <f>HYPERLINK("https://www.somogyi.hu/data/img/product_main_images/small/06823.jpg","https://www.somogyi.hu/data/img/product_main_images/small/06823.jpg")</f>
        <v>0.0</v>
      </c>
      <c r="F1771" s="2" t="inlineStr">
        <is>
          <t>5998312758410</t>
        </is>
      </c>
      <c r="G1771" s="4" t="inlineStr">
        <is>
          <t>Egy megbízható póthegyet keres a Home SG 109 pákájához? A Home SG 109T póthegy pontosan az, amire szüksége van, hogy pákáját újra a legjobb formájában használhassa. 
Ez a kiváló minőségű póthegy biztosítja, hogy a forrasztási munkák mindig precízen és hatékonyan végezhetők el. A Home SG 109T póthegy tökéletesen illeszkedik a SG 109 típusú forrasztópákához, így könnyedén cserélhető, amikor elhasználódik vagy ha más típusú hegyre van szükség a különféle forrasztási feladatokhoz. Ez a rugalmasság lehetővé teszi a felhasználók számára, hogy minden projektjükhöz megfelelő hegyet válasszanak, növelve ezzel a munka minőségét és hatékonyságát.
A póthegy cseréje egyszerű és gyors. A kiváló minőségű anyagok garantálják a hosszú élettartamot és a kiváló hőátvitelt, ami létfontosságú a pontos forrasztási munkákhoz.
Tegye forrasztási folyamatát zökkenőmentesebbé a Home SG 109T póthegy használatával. Ne hagyja, hogy egy kopott vagy rossz hegy befolyásolja a munkájának minőségét.</t>
        </is>
      </c>
    </row>
    <row r="1772">
      <c r="A1772" s="3" t="inlineStr">
        <is>
          <t>SG109-150T</t>
        </is>
      </c>
      <c r="B1772" s="2" t="inlineStr">
        <is>
          <t>Home SG109-150T tartalék hegy Home SG109-150 forrasztópisztolyhoz</t>
        </is>
      </c>
      <c r="C1772" s="1" t="n">
        <v>1150.0</v>
      </c>
      <c r="D1772" s="7" t="n">
        <f>HYPERLINK("https://www.somogyi.hu/product/home-sg109-150t-tartalek-hegy-home-sg109-150-forrasztopisztolyhoz-sg109-150t-18517","https://www.somogyi.hu/product/home-sg109-150t-tartalek-hegy-home-sg109-150-forrasztopisztolyhoz-sg109-150t-18517")</f>
        <v>0.0</v>
      </c>
      <c r="E1772" s="7" t="n">
        <f>HYPERLINK("https://www.somogyi.hu/data/img/product_main_images/small/18517.jpg","https://www.somogyi.hu/data/img/product_main_images/small/18517.jpg")</f>
        <v>0.0</v>
      </c>
      <c r="F1772" s="2" t="inlineStr">
        <is>
          <t>5999084965358</t>
        </is>
      </c>
      <c r="G1772" s="4" t="inlineStr">
        <is>
          <t>Egy tartós és megbízható forrasztóhegyet keres, amely nagy hőigényű munkákhoz is tökéletesen illeszkedik? A Home SG109-150T tartalék hegy kifejezetten a Home SG109-150 forrasztópisztolyhoz készült, hogy biztosítsa a folyamatos és hatékony munkavégzést. 
Ez a nikkelezett réz forrasztóhegy kiváló hővezetési tulajdonságokkal rendelkezik, ami lehetővé teszi a gyors felfűtést, így azonnal munkához láthat. Ideális nagyteljesítményű, 150 Wattos forrasztási alkalmazásokhoz, ahol a megbízhatóság és a precizitás elengedhetetlen. A forrasztóhegy akár 600-650°C-os maximális hőmérsékletet is képes elérni, így a legnagyobb hőigényű feladatokat is könnyedén megoldhatja. A hosszú élettartamú kialakításnak köszönhetően kevesebbet kell aggódnia a csere miatt, miközben a szerszám nélküli cserélhetőség tovább növeli a kényelmet és a hatékonyságot.
Ez az egy darabos kiszerelésű tartalék hegy kiváló választás mind a kezdő, mind a tapasztalt felhasználók számára, akik biztosak akarnak lenni abban, hogy mindig rendelkezésükre áll egy megbízható és kiváló minőségű forrasztóhegy. Akár javítási munkákhoz, akár új projektekhez használja, a Home SG109-150T tartalék hegy garantáltan segít abban, hogy minden feladatot a lehető legjobb eredménnyel végezzen el.
Ne engedje, hogy az elhasználódott forrasztóhegy hátráltassa munkáját – válassza a Home SG109-150T tartalék hegyet, és élvezze a megbízható és hatékony forrasztás előnyeit minden alkalommal!</t>
        </is>
      </c>
    </row>
    <row r="1773">
      <c r="A1773" s="3" t="inlineStr">
        <is>
          <t>FPL 80W</t>
        </is>
      </c>
      <c r="B1773" s="2" t="inlineStr">
        <is>
          <t>Home FPL 80W hőfokszabályozós, digitális forrasztópáka, LCD digitális kijelző, szabályozható hőmérséklet (180-480 °C), 230 V~ / 80 W max., kerámia fűtőelem</t>
        </is>
      </c>
      <c r="C1773" s="1" t="n">
        <v>12190.0</v>
      </c>
      <c r="D1773" s="7" t="n">
        <f>HYPERLINK("https://www.somogyi.hu/product/home-fpl-80w-hofokszabalyozos-digitalis-forrasztopaka-lcd-digitalis-kijelzo-szabalyozhato-homerseklet-180-480-c-230-v-80-w-max-keramia-futoelem-fpl-80w-17943","https://www.somogyi.hu/product/home-fpl-80w-hofokszabalyozos-digitalis-forrasztopaka-lcd-digitalis-kijelzo-szabalyozhato-homerseklet-180-480-c-230-v-80-w-max-keramia-futoelem-fpl-80w-17943")</f>
        <v>0.0</v>
      </c>
      <c r="E1773" s="7" t="n">
        <f>HYPERLINK("https://www.somogyi.hu/data/img/product_main_images/small/17943.jpg","https://www.somogyi.hu/data/img/product_main_images/small/17943.jpg")</f>
        <v>0.0</v>
      </c>
      <c r="F1773" s="2" t="inlineStr">
        <is>
          <t>5999084959654</t>
        </is>
      </c>
      <c r="G1773" s="4" t="inlineStr">
        <is>
          <t>Hogyan biztosíthatja, hogy a forrasztások mindig precízek legyenek, és a hőmérséklet tökéletesen igazodjon az elvégzendő munkához? A Home FPL 80W hőfokszabályozós, digitális forrasztópáka professzionális megoldást nyújt, amely minden igényt kielégít a forrasztás terén.
A páka markolatába épített LCD digitális kijelző lehetővé teszi a hőmérséklet könnyed beállítását, amely 180-480°C között szabadon szabályozható, így minden anyaghoz és feladathoz megtalálható az optimális hőmérséklet. A 230 V~ / 80 W teljesítmény révén gyors felfűtést és stabil hőtartást biztosít, miközben a kerámia fűtőelem hosszú élettartamot garantál. A beépített hőmérséklet-memória funkcióval a legutóbb használt beállítások könnyedén elérhetők, így időt takaríthat meg.
A forrasztópáka 1+5 db nikkelezett forrasztócsúcsot tartalmaz, amelyek különböző munkafeladatokra optimalizáltak, legyen szó finom elektronikáról vagy nagyobb összekötésekről. A minőségi anyagok és a jól megtervezett kialakítás garantálják a hosszú távú megbízhatóságot és a precíz munkavégzést.
Válassza a Home FPL 80W forrasztópáka kiváló minőségét, és élvezze a könnyű és hatékony forrasztás élményét! Vásároljon most, és tapasztalja meg a professzionális forrasztás előnyeit minden projektnél!</t>
        </is>
      </c>
    </row>
    <row r="1774">
      <c r="A1774" s="3" t="inlineStr">
        <is>
          <t>8PK-101-2</t>
        </is>
      </c>
      <c r="B1774" s="2" t="inlineStr">
        <is>
          <t>Pro'skit 8PK-101-2 gázpáka, forrasztáshoz, melegítéshez, zsugorításhoz, ónozáshoz, daraboláshoz, szabályozható szúróláng, öngyújtógázzal feltölthető</t>
        </is>
      </c>
      <c r="C1774" s="1" t="n">
        <v>10390.0</v>
      </c>
      <c r="D1774" s="7" t="n">
        <f>HYPERLINK("https://www.somogyi.hu/product/pro-skit-8pk-101-2-gazpaka-forrasztashoz-melegiteshez-zsugoritashoz-onozashoz-darabolashoz-szabalyozhato-szurolang-ongyujtogazzal-feltoltheto-8pk-101-2-4466","https://www.somogyi.hu/product/pro-skit-8pk-101-2-gazpaka-forrasztashoz-melegiteshez-zsugoritashoz-onozashoz-darabolashoz-szabalyozhato-szurolang-ongyujtogazzal-feltoltheto-8pk-101-2-4466")</f>
        <v>0.0</v>
      </c>
      <c r="E1774" s="7" t="n">
        <f>HYPERLINK("https://www.somogyi.hu/data/img/product_main_images/small/04466.jpg","https://www.somogyi.hu/data/img/product_main_images/small/04466.jpg")</f>
        <v>0.0</v>
      </c>
      <c r="F1774" s="2" t="inlineStr">
        <is>
          <t>5998312739280</t>
        </is>
      </c>
      <c r="G1774" s="4" t="inlineStr">
        <is>
          <t>Van már olyan sokoldalú eszköze, amely forraszt, melegít, zsugorít, ónoz és darabol is? A Pro'skit 8PK-101-2 gázpáka egy rendkívül rugalmas szerszám, amely mindezeket a funkciókat kínálja, így ideális választás minden olyan projekt számára, ahol precíziós hőkezelésre van szükség.
Ez a kiváló minőségű eszköz szabályozható szúrólánggal rendelkezik, amely lehetővé teszi a hőmérséklet finom beállítását a különböző feladatokhoz. A csomag tartalmaz 2 cserélhető fejet, amelyek tovább növelik a páka sokoldalúságát, így az tökéletesen alkalmazkodik a forrasztás, melegítés, zsugorítás, ónozás és darabolás különböző igényeihez. Az öngyújtógázzal feltölthető páka 130 mm hosszúságú, és gáz nélkül szállítjuk, így biztonságosan kezelhető és szállítható.
A Pro'skit 8PK-101-2 gázpáka az ideális eszköz azok számára, akik egy multifunkcionális, hordozható megoldást keresnek a legkülönfélébb hőkezelési feladatokra.</t>
        </is>
      </c>
    </row>
    <row r="1775">
      <c r="A1775" s="3" t="inlineStr">
        <is>
          <t>PP 75</t>
        </is>
      </c>
      <c r="B1775" s="2" t="inlineStr">
        <is>
          <t>Home PP 75 forrasztópisztoly készlet, 75W/230V~/50Hz, beépített LED világítás, koffer további tartalma: 5+1 db forrasztócsúcs, 16 g forrasztógyanta, 10 g forrasztóón</t>
        </is>
      </c>
      <c r="C1775" s="1" t="n">
        <v>25190.0</v>
      </c>
      <c r="D1775" s="7" t="n">
        <f>HYPERLINK("https://www.somogyi.hu/product/home-pp-75-forrasztopisztoly-keszlet-75w-230v-50hz-beepitett-led-vilagitas-koffer-tovabbi-tartalma-5-1-db-forrasztocsucs-16-g-forrasztogyanta-10-g-forrasztoon-pp-75-16212","https://www.somogyi.hu/product/home-pp-75-forrasztopisztoly-keszlet-75w-230v-50hz-beepitett-led-vilagitas-koffer-tovabbi-tartalma-5-1-db-forrasztocsucs-16-g-forrasztogyanta-10-g-forrasztoon-pp-75-16212")</f>
        <v>0.0</v>
      </c>
      <c r="E1775" s="7" t="n">
        <f>HYPERLINK("https://www.somogyi.hu/data/img/product_main_images/small/16212.jpg","https://www.somogyi.hu/data/img/product_main_images/small/16212.jpg")</f>
        <v>0.0</v>
      </c>
      <c r="F1775" s="2" t="inlineStr">
        <is>
          <t>5999084942441</t>
        </is>
      </c>
      <c r="G1775" s="4" t="inlineStr">
        <is>
          <t>Szeretne egy mindent magában foglaló forrasztópisztoly-készletet, amely minden forrasztási projektjéhez tökéletesen megfelelne? A Home PP 75 forrasztópisztoly készlet a minőségi cseh gyártást és a modern funkciókat egyesíti, hogy kiváló forrasztási élményt nyújtson, legyen szó bármilyen projektről.
Ez a 75W/230V teljesítményű forrasztópisztoly beépített LED világítással rendelkezik, amely kiváló láthatóságot biztosít még a nehezen hozzáférhető helyeken végzett munkák során is. A készlet tartalmaz 5+1 db cserélhető forrasztócsúcsot, amelyek széles választékát kínálják a különböző forrasztási igényeknek, legyen szó finom elektronikai javításról vagy nagyobb összeszerelési feladatokról. A koffer további tartalma egy 16 g forrasztógyanta és egy 10 g forrasztóón, így minden szükséges eszközt és anyagot egy helyen tartva megkönnyíti a forrasztási munkálatokat. A készlet praktikus tárolását és szállítását a strapabíró koffer biztosítja, amely megvédi a forrasztópisztolyt és tartozékait a sérülésektől.
A Home PP 75 forrasztópisztoly készlet a tökéletes választás mindenki számára, aki egy magas minőségű, sokoldalú és könnyen használható forrasztóeszközt keres.</t>
        </is>
      </c>
    </row>
    <row r="1776">
      <c r="A1776" s="3" t="inlineStr">
        <is>
          <t>PP 75T</t>
        </is>
      </c>
      <c r="B1776" s="2" t="inlineStr">
        <is>
          <t>Home PP 75T forrasztóhegy PP75, PP2, PP1 forrasztópisztolyokhoz, 43 mm / 1,5 mm2 nikkel bevonatú vörösréz, 10 db / csomag</t>
        </is>
      </c>
      <c r="C1776" s="1" t="n">
        <v>1450.0</v>
      </c>
      <c r="D1776" s="7" t="n">
        <f>HYPERLINK("https://www.somogyi.hu/product/home-pp-75t-forrasztohegy-pp75-pp2-pp1-forrasztopisztolyokhoz-43-mm-1-5-mm2-nikkel-bevonatu-vorosrez-10-db-csomag-pp-75t-16317","https://www.somogyi.hu/product/home-pp-75t-forrasztohegy-pp75-pp2-pp1-forrasztopisztolyokhoz-43-mm-1-5-mm2-nikkel-bevonatu-vorosrez-10-db-csomag-pp-75t-16317")</f>
        <v>0.0</v>
      </c>
      <c r="E1776" s="7" t="n">
        <f>HYPERLINK("https://www.somogyi.hu/data/img/product_main_images/small/16317.jpg","https://www.somogyi.hu/data/img/product_main_images/small/16317.jpg")</f>
        <v>0.0</v>
      </c>
      <c r="F1776" s="2" t="inlineStr">
        <is>
          <t>5999084943493</t>
        </is>
      </c>
      <c r="G1776" s="4" t="inlineStr">
        <is>
          <t>Tökéletes forrasztóhegyet keres a PP75, PP2 vagy PP1 forrasztópisztolyához? A Home PP 75T forrasztóhegy kifejezetten ezekhez a modellekhez lett tervezve, így biztosíthatja a forrasztópisztolya optimális teljesítményét.
A 43 mm hosszú és 1,5 mm² átmérőjű nikkel bevonatú vörösréz forrasztóhegy kiváló hővezető képességgel rendelkezik, ami lehetővé teszi a gyors és egyenletes hőeloszlást a forrasztás során. Ez a tulajdonság különösen fontos a precíz és megbízható forrasztási kapcsolatok létrehozásához, minimálisra csökkentve a hő okozta károkat az elektronikai alkatrészekben.
Minden csomag 10 db forrasztóhegyet tartalmaz, így hosszú ideig nem kell aggódnia a csere miatt, és folyamatosan fenntarthatja a munka magas minőségét. A nikkel bevonat nemcsak javítja a hőátadást, hanem növeli a forrasztóhegy élettartamát is, ellenállva a korróziónak és az elhasználódásnak.
Válassza a Home PP 75T forrasztóhegyet, és biztosítsa forrasztópisztolya számára a legjobb tartozékot a pontos és hatékony munkavégzéshez.</t>
        </is>
      </c>
    </row>
    <row r="1777">
      <c r="A1777" s="6" t="inlineStr">
        <is>
          <t xml:space="preserve">   Mérés, szerszám, forrasztás / Ónszippantó</t>
        </is>
      </c>
      <c r="B1777" s="6" t="inlineStr">
        <is>
          <t/>
        </is>
      </c>
      <c r="C1777" s="6" t="inlineStr">
        <is>
          <t/>
        </is>
      </c>
      <c r="D1777" s="6" t="inlineStr">
        <is>
          <t/>
        </is>
      </c>
      <c r="E1777" s="6" t="inlineStr">
        <is>
          <t/>
        </is>
      </c>
      <c r="F1777" s="6" t="inlineStr">
        <is>
          <t/>
        </is>
      </c>
      <c r="G1777" s="6" t="inlineStr">
        <is>
          <t/>
        </is>
      </c>
    </row>
    <row r="1778">
      <c r="A1778" s="3" t="inlineStr">
        <is>
          <t>8PK-366D</t>
        </is>
      </c>
      <c r="B1778" s="2" t="inlineStr">
        <is>
          <t>Pro'skit 8PK-366D professzionális  ónszippantó, erős szívóhatás, tartósan hőálló, fém</t>
        </is>
      </c>
      <c r="C1778" s="1" t="n">
        <v>2890.0</v>
      </c>
      <c r="D1778" s="7" t="n">
        <f>HYPERLINK("https://www.somogyi.hu/product/pro-skit-8pk-366d-professzionalis-onszippanto-eros-szivohatas-tartosan-hoallo-fem-8pk-366d-19065","https://www.somogyi.hu/product/pro-skit-8pk-366d-professzionalis-onszippanto-eros-szivohatas-tartosan-hoallo-fem-8pk-366d-19065")</f>
        <v>0.0</v>
      </c>
      <c r="E1778" s="7" t="n">
        <f>HYPERLINK("https://www.somogyi.hu/data/img/product_main_images/small/19065.jpg","https://www.somogyi.hu/data/img/product_main_images/small/19065.jpg")</f>
        <v>0.0</v>
      </c>
      <c r="F1778" s="2" t="inlineStr">
        <is>
          <t>5999084970581</t>
        </is>
      </c>
      <c r="G1778" s="4" t="inlineStr">
        <is>
          <t>Szeretné hatékonyan és gyorsan eltávolítani a felesleges ónt forrasztás során, miközben hosszú távon megbízható eszközt használ? 
A Pro'sKit 8PK-366D professzionális ónszippantó kifejezetten precíz munkavégzésre tervezett eszköz, amely garantálja a hatékony forrasztási munkát akár ipari, akár hobbi felhasználás során. Az erős szívóhatásnak és a tartós, hőálló anyagoknak köszönhetően ez az ónszippantó minden környezetben megállja a helyét.
Masszív kialakítás és tartós anyaghasználat
A Pro'sKit 8PK-366D robusztus fém burkolata hosszú élettartamot biztosít, még intenzív használat mellett is. A masszív szerkezet nemcsak ellenállóvá teszi az eszközt a mechanikai sérülésekkel szemben, hanem kényelmes fogást is garantál. Az erős szívóhatás lehetővé teszi a gyors és hatékony óneltávolítást, így minimalizálva a forrasztási hibák kockázatát.
Tartós, hőálló teflon hegy a precíz munkavégzésért
Az ónszippantó stabil, teflonból készült hőálló hegye biztosítja, hogy a készülék hosszabb ideig megőrizze teljesítményét és épségét még magas hőmérsékleten is. A teflon hegy tartóssága és hőállósága nélkülözhetetlenné teszi az eszközt azok számára, akik rendszeresen dolgoznak forrasztással. Az erős szívóhatás és a precíziós hegy kombinációja garantálja a hatékony óneltávolítást minden munkafolyamat során.
Kompakt méret a könnyű kezelhetőségért
A mindössze ∅18 x 163 mm méretű Pro'sKit 8PK-366D könnyen kezelhető és tárolható eszköz. Kis mérete ellenére masszív kialakítása és nagy teljesítménye ideálissá teszi mind a professzionális, mind az otthoni felhasználók számára.
Legyen szó professzionális forrasztási munkáról vagy otthoni barkácsolásról, a Pro'sKit 8PK-366D egy megbízható és hosszú élettartamú eszköz, amely megkönnyíti a munkafolyamatokat és biztosítja a precíz végeredményt. Rendelje meg most, és élvezze a professzionális minőséget minden forrasztási projekt során!</t>
        </is>
      </c>
    </row>
    <row r="1779">
      <c r="A1779" s="3" t="inlineStr">
        <is>
          <t>8PK-366N-G</t>
        </is>
      </c>
      <c r="B1779" s="2" t="inlineStr">
        <is>
          <t>Pro'skit 8PK-366N-G ónszippantó, erős szívóhatás, tartósan hőálló, dupla gumigyűrű</t>
        </is>
      </c>
      <c r="C1779" s="1" t="n">
        <v>2590.0</v>
      </c>
      <c r="D1779" s="7" t="n">
        <f>HYPERLINK("https://www.somogyi.hu/product/pro-skit-8pk-366n-g-onszippanto-eros-szivohatas-tartosan-hoallo-dupla-gumigyuru-8pk-366n-g-4467","https://www.somogyi.hu/product/pro-skit-8pk-366n-g-onszippanto-eros-szivohatas-tartosan-hoallo-dupla-gumigyuru-8pk-366n-g-4467")</f>
        <v>0.0</v>
      </c>
      <c r="E1779" s="7" t="n">
        <f>HYPERLINK("https://www.somogyi.hu/data/img/product_main_images/small/04467.jpg","https://www.somogyi.hu/data/img/product_main_images/small/04467.jpg")</f>
        <v>0.0</v>
      </c>
      <c r="F1779" s="2" t="inlineStr">
        <is>
          <t>5998312739297</t>
        </is>
      </c>
      <c r="G1779" s="4" t="inlineStr">
        <is>
          <t>Unja már, hogy nem megfelelő eszközökkel küzd a forrasztások alkalmával? A Pro'skit 8PK-366N-G ónszippantó az erős szívóhatásával garantáltan megkönnyíti a munkáját, így többé nem kell aggódnia a makacs ónmaradványok miatt.
Ez a kiváló minőségű ónszippantó kiemelkedik tartós, hőálló teflon hegyével, amely stabil és megbízható használatot biztosít még a legnehezebb forrasztási feladatok során is. A dupla gumigyűrű tovább növeli a szívóhatást, így a forrasztás során keletkező ón gyorsan és hatékonyan távolítható el. Az eltávolítható színes burkolat nemcsak esztétikus megjelenést kölcsönöz az eszköznek, hanem lehetővé teszi a könnyű tisztítást és karbantartást is.
Mérete, ∅26 x 205 mm, ideális a kényelmes használathoz, így a Pro'skit 8PK-366N-G ónszippantó tökéletes kiegészítője lehet bármelyik forrasztó munkaállomásnak. Többé nem kell kompromisszumot kötnie az ón eltávolításának hatékonysága és a munkafolyamat kényelme között.
Váltson a Pro'skit 8PK-366N-G ónszippantóra, és tapasztalja meg, hogy milyen könnyedén távolítható el a felesleges ón a forrasztási felületekről.</t>
        </is>
      </c>
    </row>
    <row r="1780">
      <c r="A1780" s="3" t="inlineStr">
        <is>
          <t>5PK-366N-T</t>
        </is>
      </c>
      <c r="B1780" s="2" t="inlineStr">
        <is>
          <t>Pro'skit 5PK-366N-T póthegy ónszippantóhoz, 8PK-366N-G termékhez, teflon hegy,</t>
        </is>
      </c>
      <c r="C1780" s="1" t="n">
        <v>989.0</v>
      </c>
      <c r="D1780" s="7" t="n">
        <f>HYPERLINK("https://www.somogyi.hu/product/pro-skit-5pk-366n-t-pothegy-onszippantohoz-8pk-366n-g-termekhez-teflon-hegy-5pk-366n-t-4758","https://www.somogyi.hu/product/pro-skit-5pk-366n-t-pothegy-onszippantohoz-8pk-366n-g-termekhez-teflon-hegy-5pk-366n-t-4758")</f>
        <v>0.0</v>
      </c>
      <c r="E1780" s="7" t="n">
        <f>HYPERLINK("https://www.somogyi.hu/data/img/product_main_images/small/04758.jpg","https://www.somogyi.hu/data/img/product_main_images/small/04758.jpg")</f>
        <v>0.0</v>
      </c>
      <c r="F1780" s="2" t="inlineStr">
        <is>
          <t>5998312742013</t>
        </is>
      </c>
      <c r="G1780" s="4" t="inlineStr">
        <is>
          <t>Egy megbízható megoldást keres ónszippantójának karbantartására és javítására? A Pro'skit 5PK-366N-T póthegy a 8PK-366N-G ónszippantóhoz pontosan ezt kínálja, biztosítva, hogy eszköze mindig a legjobb állapotban legyen a hatékony és pontos munkához.
Ez a speciálisan tervezett póthegy foglalatával egybeépített stabil teflon hegyet tartalmaz, amely kiváló hőállóságot és tartósságot biztosít, így hosszú távon is megbízhatóan használható. A fekete hegy és a szürke ház esztétikailag is illeszkedik a Pro'skit ónszippantó dizájnjához, míg a tömítőgyűrű garantálja a szívóhatás maximalizálását anélkül, hogy levegő szivárogna be a nem kívánt helyeken.
A Pro'skit 5PK-366N-T póthegy telepítése egyszerű és gyors, lehetővé téve, hogy kevesebb időt töltsön az eszköz karbantartásával, és többet a forrasztási feladatokra koncentrálhasson. Ez az alkatrész tökéletes választás, ha póthegyre van szüksége az ónszippantójához, legyen az a rendszeres karbantartás része, vagy egy váratlan sérülés miatti cseréről.
Frissítse ónszippantóját a Pro'skit 5PK-366N-T pótheggyel, és élvezze a zökkenőmentes, hatékony óneltávolítást minden egyes használatkor.</t>
        </is>
      </c>
    </row>
    <row r="1781">
      <c r="A1781" s="6" t="inlineStr">
        <is>
          <t xml:space="preserve">   Mérés, szerszám, forrasztás / Forrasztóón, segédanyag</t>
        </is>
      </c>
      <c r="B1781" s="6" t="inlineStr">
        <is>
          <t/>
        </is>
      </c>
      <c r="C1781" s="6" t="inlineStr">
        <is>
          <t/>
        </is>
      </c>
      <c r="D1781" s="6" t="inlineStr">
        <is>
          <t/>
        </is>
      </c>
      <c r="E1781" s="6" t="inlineStr">
        <is>
          <t/>
        </is>
      </c>
      <c r="F1781" s="6" t="inlineStr">
        <is>
          <t/>
        </is>
      </c>
      <c r="G1781" s="6" t="inlineStr">
        <is>
          <t/>
        </is>
      </c>
    </row>
    <row r="1782">
      <c r="A1782" s="3" t="inlineStr">
        <is>
          <t>SW 2/250</t>
        </is>
      </c>
      <c r="B1782" s="2" t="inlineStr">
        <is>
          <t>Home SW 2/250 forrasztóón, 2mm, 250g, európai gyártótól származó kiváló minőségű forrasztóón, összetétel: SN/PB: 60/40%, gyanta: 2,0%</t>
        </is>
      </c>
      <c r="C1782" s="1" t="n">
        <v>8990.0</v>
      </c>
      <c r="D1782" s="7" t="n">
        <f>HYPERLINK("https://www.somogyi.hu/product/home-sw-2-250-forrasztoon-2mm-250g-europai-gyartotol-szarmazo-kivalo-minosegu-forrasztoon-osszetetel-sn-pb-60-40-gyanta-2-0-sw-2-250-7513","https://www.somogyi.hu/product/home-sw-2-250-forrasztoon-2mm-250g-europai-gyartotol-szarmazo-kivalo-minosegu-forrasztoon-osszetetel-sn-pb-60-40-gyanta-2-0-sw-2-250-7513")</f>
        <v>0.0</v>
      </c>
      <c r="E1782" s="7" t="n">
        <f>HYPERLINK("https://www.somogyi.hu/data/img/product_main_images/small/07513.jpg","https://www.somogyi.hu/data/img/product_main_images/small/07513.jpg")</f>
        <v>0.0</v>
      </c>
      <c r="F1782" s="2" t="inlineStr">
        <is>
          <t>5998312764978</t>
        </is>
      </c>
      <c r="G1782" s="4" t="inlineStr">
        <is>
          <t>Egy kiváló minőségű forrasztóónt keres, amely pontos és tiszta forrasztási eredményeket biztosít? A Home SW 2/250 forrasztóón a tökéletes választás azok számára, akik az európai gyártású, megbízható forrasztóanyagokban bíznak. Ez a forrasztóón ideális választás széles körű villamos és elektronikai forrasztási feladatokhoz.
Az SN/PB 60/40% összetétel és a 2,0% gyanta tartalom biztosítja a kiváló forrasztási tulajdonságokat, miközben a 2 mm-es átmérő lehetővé teszi a precíz munkavégzést, még a legfinomabb forrasztási pontok esetén is. A 250g-os kiszerelés hosszú távra elegendő anyagot biztosít, legyen szó akár hobbi elektronikai projektekről, akár professzionális felhasználásról.
A Home SW 2/250 forrasztóón könnyen kezelhető és alkalmazható, így garantáltan sima és tiszta forrasztási felületeket érhet el vele. A gyantatartalom gondoskodik a forrasztófém megfelelő terjedéséről és tapadásáról, csökkentve a hibás forrasztások kockázatát és növelve az összeköttetések megbízhatóságát.
Válassza a Home SW 2/250 forrasztóónt, és biztosítsa projektjei sikerét azzal, hogy a legjobb minőségű anyagokkal dolgozik.</t>
        </is>
      </c>
    </row>
    <row r="1783">
      <c r="A1783" s="3" t="inlineStr">
        <is>
          <t>SW 1/250</t>
        </is>
      </c>
      <c r="B1783" s="2" t="inlineStr">
        <is>
          <t>Home SW 1/250 forrasztóón, 1mm, 250g, európai gyártótól származó kiváló minőségű forrasztóón, összetétel: SN/PB: 60/40%, gyanta: 2,0%</t>
        </is>
      </c>
      <c r="C1783" s="1" t="n">
        <v>8990.0</v>
      </c>
      <c r="D1783" s="7" t="n">
        <f>HYPERLINK("https://www.somogyi.hu/product/home-sw-1-250-forrasztoon-1mm-250g-europai-gyartotol-szarmazo-kivalo-minosegu-forrasztoon-osszetetel-sn-pb-60-40-gyanta-2-0-sw-1-250-4427","https://www.somogyi.hu/product/home-sw-1-250-forrasztoon-1mm-250g-europai-gyartotol-szarmazo-kivalo-minosegu-forrasztoon-osszetetel-sn-pb-60-40-gyanta-2-0-sw-1-250-4427")</f>
        <v>0.0</v>
      </c>
      <c r="E1783" s="7" t="n">
        <f>HYPERLINK("https://www.somogyi.hu/data/img/product_main_images/small/04427.jpg","https://www.somogyi.hu/data/img/product_main_images/small/04427.jpg")</f>
        <v>0.0</v>
      </c>
      <c r="F1783" s="2" t="inlineStr">
        <is>
          <t>5998312738894</t>
        </is>
      </c>
      <c r="G1783" s="4" t="inlineStr">
        <is>
          <t>Egy kiváló minőségű forrasztóónt keres, amely pontos és tiszta forrasztási eredményeket biztosít? A Home SW 1/250 forrasztóón a tökéletes választás azok számára, akik az európai gyártású, megbízható forrasztóanyagokban bíznak. Ez a forrasztóón ideális választás széles körű villamos és elektronikai forrasztási feladatokhoz.
Az SN/PB 60/40% összetétel és a 2,0% gyanta tartalom biztosítja a kiváló forrasztási tulajdonságokat, miközben a 1 mm-es átmérő lehetővé teszi a precíz munkavégzést, még a legfinomabb forrasztási pontok esetén is. A 250g-os kiszerelés hosszú távra elegendő anyagot biztosít, legyen szó akár hobbi elektronikai projektekről, akár professzionális felhasználásról.
A Home SW 1/250 forrasztóón könnyen kezelhető és alkalmazható, így garantáltan sima és tiszta forrasztási felületeket érhet el vele. A gyantatartalom gondoskodik a forrasztófém megfelelő terjedéséről és tapadásáról, csökkentve a hibás forrasztások kockázatát és növelve az összeköttetések megbízhatóságát.
Válassza a Home SW 1/250 forrasztóónt, és biztosítsa projektjei sikerét azzal, hogy a legjobb minőségű anyagokkal dolgozik.</t>
        </is>
      </c>
    </row>
    <row r="1784">
      <c r="A1784" s="3" t="inlineStr">
        <is>
          <t>SW 1,5/250</t>
        </is>
      </c>
      <c r="B1784" s="2" t="inlineStr">
        <is>
          <t>Home SW 1,5/250 forrasztóón, 1,5mm, 250g, európai gyártótól származó kiváló minőségű forrasztóón, összetétel: SN/PB: 60/40%, gyanta: 2,0%</t>
        </is>
      </c>
      <c r="C1784" s="1" t="n">
        <v>8990.0</v>
      </c>
      <c r="D1784" s="7" t="n">
        <f>HYPERLINK("https://www.somogyi.hu/product/home-sw-1-5-250-forrasztoon-1-5mm-250g-europai-gyartotol-szarmazo-kivalo-minosegu-forrasztoon-osszetetel-sn-pb-60-40-gyanta-2-0-sw-1-5-250-4429","https://www.somogyi.hu/product/home-sw-1-5-250-forrasztoon-1-5mm-250g-europai-gyartotol-szarmazo-kivalo-minosegu-forrasztoon-osszetetel-sn-pb-60-40-gyanta-2-0-sw-1-5-250-4429")</f>
        <v>0.0</v>
      </c>
      <c r="E1784" s="7" t="n">
        <f>HYPERLINK("https://www.somogyi.hu/data/img/product_main_images/small/04429.jpg","https://www.somogyi.hu/data/img/product_main_images/small/04429.jpg")</f>
        <v>0.0</v>
      </c>
      <c r="F1784" s="2" t="inlineStr">
        <is>
          <t>5998312738917</t>
        </is>
      </c>
      <c r="G1784" s="4" t="inlineStr">
        <is>
          <t>Egy kiváló minőségű forrasztóónt keres, amely pontos és tiszta forrasztási eredményeket biztosít? A Home SW 1,5/250 forrasztóón a tökéletes választás azok számára, akik az európai gyártású, megbízható forrasztóanyagokban bíznak. Ez a forrasztóón ideális választás széles körű villamos és elektronikai forrasztási feladatokhoz.
Az SN/PB 60/40% összetétel és a 2,0% gyanta tartalom biztosítja a kiváló forrasztási tulajdonságokat, miközben a 1,5 mm-es átmérő lehetővé teszi a precíz munkavégzést, még a legfinomabb forrasztási pontok esetén is. A 250g-os kiszerelés hosszú távra elegendő anyagot biztosít, legyen szó akár hobbi elektronikai projektekről, akár professzionális felhasználásról.
A Home SW 1,5/250 forrasztóón könnyen kezelhető és alkalmazható, így garantáltan sima és tiszta forrasztási felületeket érhet el vele. A gyantatartalom gondoskodik a forrasztófém megfelelő terjedéséről és tapadásáról, csökkentve a hibás forrasztások kockázatát és növelve az összeköttetések megbízhatóságát.
Válassza a Home SW 1,5/250 forrasztóónt, és biztosítsa projektjei sikerét azzal, hogy a legjobb minőségű anyagokkal dolgozik.</t>
        </is>
      </c>
    </row>
    <row r="1785">
      <c r="A1785" s="3" t="inlineStr">
        <is>
          <t>SW 1/500</t>
        </is>
      </c>
      <c r="B1785" s="2" t="inlineStr">
        <is>
          <t>Home SW 1/500 forrasztóón, 1mm, 500g, európai gyártótól származó kiváló minőségű forrasztóón, összetétel: SN/PB: 60/40%, gyanta: 2,0%</t>
        </is>
      </c>
      <c r="C1785" s="1" t="n">
        <v>17590.0</v>
      </c>
      <c r="D1785" s="7" t="n">
        <f>HYPERLINK("https://www.somogyi.hu/product/home-sw-1-500-forrasztoon-1mm-500g-europai-gyartotol-szarmazo-kivalo-minosegu-forrasztoon-osszetetel-sn-pb-60-40-gyanta-2-0-sw-1-500-4426","https://www.somogyi.hu/product/home-sw-1-500-forrasztoon-1mm-500g-europai-gyartotol-szarmazo-kivalo-minosegu-forrasztoon-osszetetel-sn-pb-60-40-gyanta-2-0-sw-1-500-4426")</f>
        <v>0.0</v>
      </c>
      <c r="E1785" s="7" t="n">
        <f>HYPERLINK("https://www.somogyi.hu/data/img/product_main_images/small/04426.jpg","https://www.somogyi.hu/data/img/product_main_images/small/04426.jpg")</f>
        <v>0.0</v>
      </c>
      <c r="F1785" s="2" t="inlineStr">
        <is>
          <t>5998312738887</t>
        </is>
      </c>
      <c r="G1785" s="4" t="inlineStr">
        <is>
          <t>Egy kiváló minőségű forrasztóónt keres, amely pontos és tiszta forrasztási eredményeket biztosít? A Home SW 1/500 forrasztóón a tökéletes választás azok számára, akik az európai gyártású, megbízható forrasztóanyagokban bíznak. Ez a forrasztóón ideális választás széles körű villamos és elektronikai forrasztási feladatokhoz.
Az SN/PB 60/40% összetétel és a 2,0% gyanta tartalom biztosítja a kiváló forrasztási tulajdonságokat, miközben a 1 mm-es átmérő lehetővé teszi a precíz munkavégzést, még a legfinomabb forrasztási pontok esetén is. A 500g-os kiszerelés hosszú távra elegendő anyagot biztosít, legyen szó akár hobbi elektronikai projektekről, akár professzionális felhasználásról.
A Home SW 1/500 forrasztóón könnyen kezelhető és alkalmazható, így garantáltan sima és tiszta forrasztási felületeket érhet el vele. A gyantatartalom gondoskodik a forrasztófém megfelelő terjedéséről és tapadásáról, csökkentve a hibás forrasztások kockázatát és növelve az összeköttetések megbízhatóságát.
Válassza a Home SW 1/500 forrasztóónt, és biztosítsa projektjei sikerét azzal, hogy a legjobb minőségű anyagokkal dolgozik.</t>
        </is>
      </c>
    </row>
    <row r="1786">
      <c r="A1786" s="3" t="inlineStr">
        <is>
          <t>TS 580</t>
        </is>
      </c>
      <c r="B1786" s="2" t="inlineStr">
        <is>
          <t>Home TS 580 hővezető paszta, elektromosan szigetelő, 200 °C-ig hőálló, nem gyantásodó, 0,24-0,42 W/mK vezetőképességű hőátadó paszta, 25g</t>
        </is>
      </c>
      <c r="C1786" s="1" t="n">
        <v>1590.0</v>
      </c>
      <c r="D1786" s="7" t="n">
        <f>HYPERLINK("https://www.somogyi.hu/product/home-ts-580-hovezeto-paszta-elektromosan-szigetelo-200-c-ig-hoallo-nem-gyantasodo-0-24-0-42-w-mk-vezetokepessegu-hoatado-paszta-25g-ts-580-2321","https://www.somogyi.hu/product/home-ts-580-hovezeto-paszta-elektromosan-szigetelo-200-c-ig-hoallo-nem-gyantasodo-0-24-0-42-w-mk-vezetokepessegu-hoatado-paszta-25g-ts-580-2321")</f>
        <v>0.0</v>
      </c>
      <c r="E1786" s="7" t="n">
        <f>HYPERLINK("https://www.somogyi.hu/data/img/product_main_images/small/02321.jpg","https://www.somogyi.hu/data/img/product_main_images/small/02321.jpg")</f>
        <v>0.0</v>
      </c>
      <c r="F1786" s="2" t="inlineStr">
        <is>
          <t>5998312725887</t>
        </is>
      </c>
      <c r="G1786" s="4" t="inlineStr">
        <is>
          <t>A tökéletes hővezető megoldást keresi forrasztási projektjeihez? A Home TS 580 hővezető paszta, kifejezetten forrasztásokhoz tervezve, elektromosan szigetelő jellemzőivel és kivételes hőállóságával biztosítja, hogy elektronikai alkotásai hosszú távon megőrizzék integritásukat és teljesítményüket.
Ez a speciális paszta nem csak azért kiemelkedő, mert 200 °C-ig őrzi meg tulajdonságait, hanem azért is, mert nem gyantásodik meg idővel, így garantálva a hosszantartó hatékonyságot és megbízhatóságot. A 0,24-0,42 W/mK közötti hővezetőképesség biztosítja, hogy a forrasztott alkatrészek közötti hő gyorsan és egyenletesen eloszlik, megelőzve ezzel a hő okozta károsodást és növelve az eszközök élettartamát.
A Home TS 580 hővezető paszta ideális választás azok számára, akik precíz és megbízható megoldást keresnek az elektronikai forrasztásokhoz. Akár hobbielektronikus, akár profi technikus, ez a paszta kiválóan integrálódik a munkafolyamatába, segítve a hatékony hőkezelést.
Válassza a Home TS 580 hővezető pasztát, és biztosítsa elektronikai projektjeinek a legjobb hővédelmet.</t>
        </is>
      </c>
    </row>
    <row r="1787">
      <c r="A1787" s="3" t="inlineStr">
        <is>
          <t>SW 2/100</t>
        </is>
      </c>
      <c r="B1787" s="2" t="inlineStr">
        <is>
          <t>Home SW 2/100 forrasztóón, 2mm, 100g, európai gyártótól származó kiváló minőségű forrasztóón, összetétel: SN/PB: 60/40%, gyanta: 2,0%</t>
        </is>
      </c>
      <c r="C1787" s="1" t="n">
        <v>3990.0</v>
      </c>
      <c r="D1787" s="7" t="n">
        <f>HYPERLINK("https://www.somogyi.hu/product/home-sw-2-100-forrasztoon-2mm-100g-europai-gyartotol-szarmazo-kivalo-minosegu-forrasztoon-osszetetel-sn-pb-60-40-gyanta-2-0-sw-2-100-7512","https://www.somogyi.hu/product/home-sw-2-100-forrasztoon-2mm-100g-europai-gyartotol-szarmazo-kivalo-minosegu-forrasztoon-osszetetel-sn-pb-60-40-gyanta-2-0-sw-2-100-7512")</f>
        <v>0.0</v>
      </c>
      <c r="E1787" s="7" t="n">
        <f>HYPERLINK("https://www.somogyi.hu/data/img/product_main_images/small/07512.jpg","https://www.somogyi.hu/data/img/product_main_images/small/07512.jpg")</f>
        <v>0.0</v>
      </c>
      <c r="F1787" s="2" t="inlineStr">
        <is>
          <t>5998312764961</t>
        </is>
      </c>
      <c r="G1787" s="4" t="inlineStr">
        <is>
          <t>Egy kiváló minőségű forrasztóónt keres, amely pontos és tiszta forrasztási eredményeket biztosít? A Home SW 2/100 forrasztóón a tökéletes választás azok számára, akik az európai gyártású, megbízható forrasztóanyagokban bíznak. Ez a forrasztóón ideális választás széles körű villamos és elektronikai forrasztási feladatokhoz.
Az SN/PB 60/40% összetétel és a 2,0% gyanta tartalom biztosítja a kiváló forrasztási tulajdonságokat, miközben a 2 mm-es átmérő lehetővé teszi a precíz munkavégzést, még a legfinomabb forrasztási pontok esetén is. A 100g-os kiszerelés hosszú távra elegendő anyagot biztosít, legyen szó akár hobbi elektronikai projektekről, akár professzionális felhasználásról.
A Home SW 2/100 forrasztóón könnyen kezelhető és alkalmazható, így garantáltan sima és tiszta forrasztási felületeket érhet el vele. A gyantatartalom gondoskodik a forrasztófém megfelelő terjedéséről és tapadásáról, csökkentve a hibás forrasztások kockázatát és növelve az összeköttetések megbízhatóságát.
Válassza a Home SW 2/100 forrasztóónt, és biztosítsa projektjei sikerét azzal, hogy a legjobb minőségű anyagokkal dolgozik.</t>
        </is>
      </c>
    </row>
    <row r="1788">
      <c r="A1788" s="3" t="inlineStr">
        <is>
          <t>SW 1,5/500</t>
        </is>
      </c>
      <c r="B1788" s="2" t="inlineStr">
        <is>
          <t>Home SW 1,5/500 forrasztóón, 1,5mm, 500g, európai gyártótól származó kiváló minőségű forrasztóón, összetétel: SN/PB: 60/40%, gyanta: 2,0%</t>
        </is>
      </c>
      <c r="C1788" s="1" t="n">
        <v>17590.0</v>
      </c>
      <c r="D1788" s="7" t="n">
        <f>HYPERLINK("https://www.somogyi.hu/product/home-sw-1-5-500-forrasztoon-1-5mm-500g-europai-gyartotol-szarmazo-kivalo-minosegu-forrasztoon-osszetetel-sn-pb-60-40-gyanta-2-0-sw-1-5-500-4430","https://www.somogyi.hu/product/home-sw-1-5-500-forrasztoon-1-5mm-500g-europai-gyartotol-szarmazo-kivalo-minosegu-forrasztoon-osszetetel-sn-pb-60-40-gyanta-2-0-sw-1-5-500-4430")</f>
        <v>0.0</v>
      </c>
      <c r="E1788" s="7" t="n">
        <f>HYPERLINK("https://www.somogyi.hu/data/img/product_main_images/small/04430.jpg","https://www.somogyi.hu/data/img/product_main_images/small/04430.jpg")</f>
        <v>0.0</v>
      </c>
      <c r="F1788" s="2" t="inlineStr">
        <is>
          <t>5998312738924</t>
        </is>
      </c>
      <c r="G1788" s="4" t="inlineStr">
        <is>
          <t>Egy kiváló minőségű forrasztóónt keres, amely pontos és tiszta forrasztási eredményeket biztosít? A Home SW 1,5/500 forrasztóón a tökéletes választás azok számára, akik az európai gyártású, megbízható forrasztóanyagokban bíznak. Ez a forrasztóón ideális választás széles körű villamos és elektronikai forrasztási feladatokhoz.
Az SN/PB 60/40% összetétel és a 2,0% gyanta tartalom biztosítja a kiváló forrasztási tulajdonságokat, miközben a 1,5 mm-es átmérő lehetővé teszi a precíz munkavégzést, még a legfinomabb forrasztási pontok esetén is. A 500g-os kiszerelés hosszú távra elegendő anyagot biztosít, legyen szó akár hobbi elektronikai projektekről, akár professzionális felhasználásról.
A Home SW 1,5/500 forrasztóón könnyen kezelhető és alkalmazható, így garantáltan sima és tiszta forrasztási felületeket érhet el vele. A gyantatartalom gondoskodik a forrasztófém megfelelő terjedéséről és tapadásáról, csökkentve a hibás forrasztások kockázatát és növelve az összeköttetések megbízhatóságát.
Válassza a Home SW 1,5/500 forrasztóónt, és biztosítsa projektjei sikerét azzal, hogy a legjobb minőségű anyagokkal dolgozik.</t>
        </is>
      </c>
    </row>
    <row r="1789">
      <c r="A1789" s="3" t="inlineStr">
        <is>
          <t>SW 3/250</t>
        </is>
      </c>
      <c r="B1789" s="2" t="inlineStr">
        <is>
          <t>Home SW 3/250 forrasztóón, 3mm, 250g, európai gyártótól származó kiváló minőségű forrasztóón, összetétel: SN/PB: 60/40%, gyanta: 2,0%</t>
        </is>
      </c>
      <c r="C1789" s="1" t="n">
        <v>8990.0</v>
      </c>
      <c r="D1789" s="7" t="n">
        <f>HYPERLINK("https://www.somogyi.hu/product/home-sw-3-250-forrasztoon-3mm-250g-europai-gyartotol-szarmazo-kivalo-minosegu-forrasztoon-osszetetel-sn-pb-60-40-gyanta-2-0-sw-3-250-7721","https://www.somogyi.hu/product/home-sw-3-250-forrasztoon-3mm-250g-europai-gyartotol-szarmazo-kivalo-minosegu-forrasztoon-osszetetel-sn-pb-60-40-gyanta-2-0-sw-3-250-7721")</f>
        <v>0.0</v>
      </c>
      <c r="E1789" s="7" t="n">
        <f>HYPERLINK("https://www.somogyi.hu/data/img/product_main_images/small/07721.jpg","https://www.somogyi.hu/data/img/product_main_images/small/07721.jpg")</f>
        <v>0.0</v>
      </c>
      <c r="F1789" s="2" t="inlineStr">
        <is>
          <t>5998312766835</t>
        </is>
      </c>
      <c r="G1789" s="4" t="inlineStr">
        <is>
          <t>Egy kiváló minőségű forrasztóónt keres, amely pontos és tiszta forrasztási eredményeket biztosít? A Home SW 3/250 forrasztóón a tökéletes választás azok számára, akik az európai gyártású, megbízható forrasztóanyagokban bíznak. Ez a forrasztóón ideális választás széles körű villamos és elektronikai forrasztási feladatokhoz.
Az SN/PB 60/40% összetétel és a 2,0% gyanta tartalom biztosítja a kiváló forrasztási tulajdonságokat, miközben a 3 mm-es átmérő lehetővé teszi a precíz munkavégzést, még a legfinomabb forrasztási pontok esetén is. A 250g-os kiszerelés hosszú távra elegendő anyagot biztosít, legyen szó akár hobbi elektronikai projektekről, akár professzionális felhasználásról.
A Home SW 3/250 forrasztóón könnyen kezelhető és alkalmazható, így garantáltan sima és tiszta forrasztási felületeket érhet el vele. A gyantatartalom gondoskodik a forrasztófém megfelelő terjedéséről és tapadásáról, csökkentve a hibás forrasztások kockázatát és növelve az összeköttetések megbízhatóságát.
Válassza a Home SW 3/250 forrasztóónt, és biztosítsa projektjei sikerét azzal, hogy a legjobb minőségű anyagokkal dolgozik.</t>
        </is>
      </c>
    </row>
    <row r="1790">
      <c r="A1790" s="3" t="inlineStr">
        <is>
          <t>TS 570/40</t>
        </is>
      </c>
      <c r="B1790" s="2" t="inlineStr">
        <is>
          <t>Home TS 570/40 forrasztókrém, savmentes erős tisztító és folyósító szer ipari lágyforrasztási munkákhoz, réz, ón, acél és saválló acél lágyforrasztásánál, 40ml</t>
        </is>
      </c>
      <c r="C1790" s="1" t="n">
        <v>1590.0</v>
      </c>
      <c r="D1790" s="7" t="n">
        <f>HYPERLINK("https://www.somogyi.hu/product/home-ts-570-40-forrasztokrem-savmentes-eros-tisztito-es-folyosito-szer-ipari-lagyforrasztasi-munkakhoz-rez-on-acel-es-savallo-acel-lagyforrasztasanal-40ml-ts-570-40-18274","https://www.somogyi.hu/product/home-ts-570-40-forrasztokrem-savmentes-eros-tisztito-es-folyosito-szer-ipari-lagyforrasztasi-munkakhoz-rez-on-acel-es-savallo-acel-lagyforrasztasanal-40ml-ts-570-40-18274")</f>
        <v>0.0</v>
      </c>
      <c r="E1790" s="7" t="n">
        <f>HYPERLINK("https://www.somogyi.hu/data/img/product_main_images/small/18274.jpg","https://www.somogyi.hu/data/img/product_main_images/small/18274.jpg")</f>
        <v>0.0</v>
      </c>
      <c r="F1790" s="2" t="inlineStr">
        <is>
          <t>5997539300662</t>
        </is>
      </c>
      <c r="G1790" s="4" t="inlineStr">
        <is>
          <t>Az ipari lágyforrasztási munkák egyik elengedhetetlen kelléke a forrasztókrém! Vásárlás előtt feltétlenül győződjön meg, hogy a magas színvonalú eredmény érdekében valóban a legjobb minőséget választotta-e!
Nálunk garantáltan jól jár! A TS 570 forrasztókrém 40 ml-es kivitelben kapható, amely egy savmentes erős tisztító és folyósító szer. A termék bátran használható réz, ón, acél és saválló acél lágyforrasztásánál. Válassza a minőségi termékeket és rendeljen webáruházunkból.</t>
        </is>
      </c>
    </row>
    <row r="1791">
      <c r="A1791" s="3" t="inlineStr">
        <is>
          <t>SWCU 1/17</t>
        </is>
      </c>
      <c r="B1791" s="2" t="inlineStr">
        <is>
          <t>Home SWCU 1/17 forrasztóóntoll, átmérő 1mm, Sn/Cu: 97,3%/0,5%, gyanta: 2,2 %, nettó súly: 17 g, méret:∅17x91mm, ólommentes!</t>
        </is>
      </c>
      <c r="C1791" s="1" t="n">
        <v>1590.0</v>
      </c>
      <c r="D1791" s="7" t="n">
        <f>HYPERLINK("https://www.somogyi.hu/product/home-swcu-1-17-forrasztoontoll-atmero-1mm-sn-cu-97-3-0-5-gyanta-2-2-netto-suly-17-g-meret-17x91mm-olommentes-swcu-1-17-6955","https://www.somogyi.hu/product/home-swcu-1-17-forrasztoontoll-atmero-1mm-sn-cu-97-3-0-5-gyanta-2-2-netto-suly-17-g-meret-17x91mm-olommentes-swcu-1-17-6955")</f>
        <v>0.0</v>
      </c>
      <c r="E1791" s="7" t="n">
        <f>HYPERLINK("https://www.somogyi.hu/data/img/product_main_images/small/06955.jpg","https://www.somogyi.hu/data/img/product_main_images/small/06955.jpg")</f>
        <v>0.0</v>
      </c>
      <c r="F1791" s="2" t="inlineStr">
        <is>
          <t>5998312759684</t>
        </is>
      </c>
      <c r="G1791" s="4" t="inlineStr">
        <is>
          <t>Egy egyszerűen használható, pontos forrasztási megoldást keres apró elektronikai munkákhoz? A Home SWCU 1/17 forrasztóóntoll az ideális eszköz azok számára, akik a forrasztóón precíz, gyors és tiszta adagolását szeretnék elérni, kényelmes toll formátumban.
Ez a forradalmi forrasztóóntoll egy adagolós házban kínálja a kiváló minőségű, ólommentes forrasztóónt, amelynek átmérője 1 mm. A Sn/Cu ötvözet 97,3% ónt és 0,5% rézt tartalmaz, a 2,2% gyanta pedig biztosítja az optimális folyékonyságot és tapadást minden egyes forrasztásnál. A 17 g nettó súly elegendő anyagot biztosít számos projekthez, míg a kompakt méret (∅17x91mm) lehetővé teszi, hogy a forrasztóóntollat bárhol magával vihesse.
A Home SWCU 1/17 forrasztóóntoll különösen hasznos finom elektronikai javításokhoz, ahol a pontosság és az adagolás ellenőrzése kulcsfontosságú. Az ólommentes összetétel nem csak a felhasználó egészségét védi, hanem összhangban van a környezetvédelmi előírásokkal is, így etikus és biztonságos választás minden szerelési munkához.
Váltson a Home SWCU 1/17 forrasztóóntollra, és élvezze a forrasztási munkákban rejlő kényelmet és pontosságot.</t>
        </is>
      </c>
    </row>
    <row r="1792">
      <c r="A1792" s="3" t="inlineStr">
        <is>
          <t>TS 560</t>
        </is>
      </c>
      <c r="B1792" s="2" t="inlineStr">
        <is>
          <t>Home TS 560 forrasztóolaj, kismértékben aktivált klórmentes folyósító szer villamos ipari és elektronikai finom forrasztási munkákhoz, 20ml</t>
        </is>
      </c>
      <c r="C1792" s="1" t="n">
        <v>1490.0</v>
      </c>
      <c r="D1792" s="7" t="n">
        <f>HYPERLINK("https://www.somogyi.hu/product/home-ts-560-forrasztoolaj-kismertekben-aktivalt-klormentes-folyosito-szer-villamos-ipari-es-elektronikai-finom-forrasztasi-munkakhoz-20ml-ts-560-1939","https://www.somogyi.hu/product/home-ts-560-forrasztoolaj-kismertekben-aktivalt-klormentes-folyosito-szer-villamos-ipari-es-elektronikai-finom-forrasztasi-munkakhoz-20ml-ts-560-1939")</f>
        <v>0.0</v>
      </c>
      <c r="E1792" s="7" t="n">
        <f>HYPERLINK("https://www.somogyi.hu/data/img/product_main_images/small/01939.jpg","https://www.somogyi.hu/data/img/product_main_images/small/01939.jpg")</f>
        <v>0.0</v>
      </c>
      <c r="F1792" s="2" t="inlineStr">
        <is>
          <t>5998312705421</t>
        </is>
      </c>
      <c r="G1792" s="4" t="inlineStr">
        <is>
          <t>Keresi a tökéletes forrasztóolajat, ami professzionális eredményt biztosít villamos és elektronikai finom forrasztási munkákhoz? A Home TS 560 forrasztóolaj az Ön számára ideális választás, kifejezetten azok számára készült, akik precíz és tiszta forrasztási eredményeket szeretnének elérni.
Ez a kismértékben aktivált, klórmentes folyósító szer kiváló minőségű forrasztást tesz lehetővé, anélkül, hogy káros anyagokat tartalmazna, így biztonságosan használható a villamos iparban és az elektronikai finomforrasztási feladatok során. A Home TS 560 forrasztóolaj segítségével javíthatja a forrasztás minőségét, növelheti a forrasztási folyamat hatékonyságát és csökkentheti a hibás forrasztások számát.
A termék könnyen alkalmazható és gyorsan reagál, így ideális választás mind az amatőr barkácsolók, mind a professzionális technikusok számára. Legyen szó nyomtatott áramkörök javításáról, kábelek összekötéséről vagy elektronikai eszközök szereléséről, a Home TS 560 forrasztóolaj megbízható segítőtársa lesz minden forrasztási munkánál.
Válassza a Home TS 560 forrasztóolajat, és biztosítsa a legjobb minőségű, hosszan tartó forrasztási kapcsolatokat minden elektronikai projektjében.</t>
        </is>
      </c>
    </row>
    <row r="1793">
      <c r="A1793" s="3" t="inlineStr">
        <is>
          <t>SW 2/500</t>
        </is>
      </c>
      <c r="B1793" s="2" t="inlineStr">
        <is>
          <t>Home SW 2/500 forrasztóón, 2mm, 500g, európai gyártótól származó kiváló minőségű forrasztóón, összetétel: SN/PB: 60/40%, gyanta: 2,0%</t>
        </is>
      </c>
      <c r="C1793" s="1" t="n">
        <v>17590.0</v>
      </c>
      <c r="D1793" s="7" t="n">
        <f>HYPERLINK("https://www.somogyi.hu/product/home-sw-2-500-forrasztoon-2mm-500g-europai-gyartotol-szarmazo-kivalo-minosegu-forrasztoon-osszetetel-sn-pb-60-40-gyanta-2-0-sw-2-500-7514","https://www.somogyi.hu/product/home-sw-2-500-forrasztoon-2mm-500g-europai-gyartotol-szarmazo-kivalo-minosegu-forrasztoon-osszetetel-sn-pb-60-40-gyanta-2-0-sw-2-500-7514")</f>
        <v>0.0</v>
      </c>
      <c r="E1793" s="7" t="n">
        <f>HYPERLINK("https://www.somogyi.hu/data/img/product_main_images/small/07514.jpg","https://www.somogyi.hu/data/img/product_main_images/small/07514.jpg")</f>
        <v>0.0</v>
      </c>
      <c r="F1793" s="2" t="inlineStr">
        <is>
          <t>5998312764985</t>
        </is>
      </c>
      <c r="G1793" s="4" t="inlineStr">
        <is>
          <t>Egy kiváló minőségű forrasztóónt keres, amely pontos és tiszta forrasztási eredményeket biztosít? A Home SW 2/500 forrasztóón a tökéletes választás azok számára, akik az európai gyártású, megbízható forrasztóanyagokban bíznak. Ez a forrasztóón ideális választás széles körű villamos és elektronikai forrasztási feladatokhoz.
Az SN/PB 60/40% összetétel és a 2,0% gyanta tartalom biztosítja a kiváló forrasztási tulajdonságokat, miközben a 2 mm-es átmérő lehetővé teszi a precíz munkavégzést, még a legfinomabb forrasztási pontok esetén is. A 500g-os kiszerelés hosszú távra elegendő anyagot biztosít, legyen szó akár hobbi elektronikai projektekről, akár professzionális felhasználásról.
A Home SW 2/500 forrasztóón könnyen kezelhető és alkalmazható, így garantáltan sima és tiszta forrasztási felületeket érhet el vele. A gyantatartalom gondoskodik a forrasztófém megfelelő terjedéséről és tapadásáról, csökkentve a hibás forrasztások kockázatát és növelve az összeköttetések megbízhatóságát.
Válassza a Home SW 2/500 forrasztóónt, és biztosítsa projektjei sikerét azzal, hogy a legjobb minőségű anyagokkal dolgozik.</t>
        </is>
      </c>
    </row>
    <row r="1794">
      <c r="A1794" s="3" t="inlineStr">
        <is>
          <t>SW 0,5/250</t>
        </is>
      </c>
      <c r="B1794" s="2" t="inlineStr">
        <is>
          <t>Home SW 0,5/250 forrasztóón, 0,5mm, 250g, európai gyártótól származó kiváló minőségű forrasztóón, összetétel: SN/PB: 60/40%, gyanta: 2,0%</t>
        </is>
      </c>
      <c r="C1794" s="1" t="n">
        <v>16790.0</v>
      </c>
      <c r="D1794" s="7" t="n">
        <f>HYPERLINK("https://www.somogyi.hu/product/home-sw-0-5-250-forrasztoon-0-5mm-250g-europai-gyartotol-szarmazo-kivalo-minosegu-forrasztoon-osszetetel-sn-pb-60-40-gyanta-2-0-sw-0-5-250-4431","https://www.somogyi.hu/product/home-sw-0-5-250-forrasztoon-0-5mm-250g-europai-gyartotol-szarmazo-kivalo-minosegu-forrasztoon-osszetetel-sn-pb-60-40-gyanta-2-0-sw-0-5-250-4431")</f>
        <v>0.0</v>
      </c>
      <c r="E1794" s="7" t="n">
        <f>HYPERLINK("https://www.somogyi.hu/data/img/product_main_images/small/04431.jpg","https://www.somogyi.hu/data/img/product_main_images/small/04431.jpg")</f>
        <v>0.0</v>
      </c>
      <c r="F1794" s="2" t="inlineStr">
        <is>
          <t>5998312738931</t>
        </is>
      </c>
      <c r="G1794" s="4" t="inlineStr">
        <is>
          <t>Egy kiváló minőségű forrasztóónt keres, amely pontos és tiszta forrasztási eredményeket biztosít? A Home SW 0,5/250 forrasztóón a tökéletes választás azok számára, akik az európai gyártású, megbízható forrasztóanyagokban bíznak. Ez a forrasztóón ideális választás széles körű villamos és elektronikai forrasztási feladatokhoz.
Az SN/PB 60/40% összetétel és a 2,0% gyanta tartalom biztosítja a kiváló forrasztási tulajdonságokat, miközben a 0,5 mm-es átmérő lehetővé teszi a precíz munkavégzést, még a legfinomabb forrasztási pontok esetén is. A 250g-os kiszerelés hosszú távra elegendő anyagot biztosít, legyen szó akár hobbi elektronikai projektekről, akár professzionális felhasználásról.
A Home SW 0,5/250 forrasztóón könnyen kezelhető és alkalmazható, így garantáltan sima és tiszta forrasztási felületeket érhet el vele. A gyantatartalom gondoskodik a forrasztófém megfelelő terjedéséről és tapadásáról, csökkentve a hibás forrasztások kockázatát és növelve az összeköttetések megbízhatóságát.
Válassza a Home SW 0,5/250 forrasztóónt, és biztosítsa projektjei sikerét azzal, hogy a legjobb minőségű anyagokkal dolgozik.</t>
        </is>
      </c>
    </row>
    <row r="1795">
      <c r="A1795" s="3" t="inlineStr">
        <is>
          <t>SW 0,8/500</t>
        </is>
      </c>
      <c r="B1795" s="2" t="inlineStr">
        <is>
          <t>Home SW 0,8/500 forrasztóón, 0,8mm, 500g, európai gyártótól származó kiváló minőségű forrasztóón, összetétel: SN/PB: 60/40%, gyanta: 2,0%</t>
        </is>
      </c>
      <c r="C1795" s="1" t="n">
        <v>17990.0</v>
      </c>
      <c r="D1795" s="7" t="n">
        <f>HYPERLINK("https://www.somogyi.hu/product/home-sw-0-8-500-forrasztoon-0-8mm-500g-europai-gyartotol-szarmazo-kivalo-minosegu-forrasztoon-osszetetel-sn-pb-60-40-gyanta-2-0-sw-0-8-500-4423","https://www.somogyi.hu/product/home-sw-0-8-500-forrasztoon-0-8mm-500g-europai-gyartotol-szarmazo-kivalo-minosegu-forrasztoon-osszetetel-sn-pb-60-40-gyanta-2-0-sw-0-8-500-4423")</f>
        <v>0.0</v>
      </c>
      <c r="E1795" s="7" t="n">
        <f>HYPERLINK("https://www.somogyi.hu/data/img/product_main_images/small/04423.jpg","https://www.somogyi.hu/data/img/product_main_images/small/04423.jpg")</f>
        <v>0.0</v>
      </c>
      <c r="F1795" s="2" t="inlineStr">
        <is>
          <t>5998312738856</t>
        </is>
      </c>
      <c r="G1795" s="4" t="inlineStr">
        <is>
          <t>Egy kiváló minőségű forrasztóónt keres, amely pontos és tiszta forrasztási eredményeket biztosít? A Home SW 0,8/500 forrasztóón a tökéletes választás azok számára, akik az európai gyártású, megbízható forrasztóanyagokban bíznak. Ez a forrasztóón ideális választás széles körű villamos és elektronikai forrasztási feladatokhoz.
Az SN/PB 60/40% összetétel és a 2,0% gyanta tartalom biztosítja a kiváló forrasztási tulajdonságokat, miközben a 0,8 mm-es átmérő lehetővé teszi a precíz munkavégzést, még a legfinomabb forrasztási pontok esetén is. A 500g-os kiszerelés hosszú távra elegendő anyagot biztosít, legyen szó akár hobbi elektronikai projektekről, akár professzionális felhasználásról.
A Home SW 0,8/500 forrasztóón könnyen kezelhető és alkalmazható, így garantáltan sima és tiszta forrasztási felületeket érhet el vele. A gyantatartalom gondoskodik a forrasztófém megfelelő terjedéséről és tapadásáról, csökkentve a hibás forrasztások kockázatát és növelve az összeköttetések megbízhatóságát.
Válassza a Home SW 0,8/500 forrasztóónt, és biztosítsa projektjei sikerét azzal, hogy a legjobb minőségű anyagokkal dolgozik.</t>
        </is>
      </c>
    </row>
    <row r="1796">
      <c r="A1796" s="3" t="inlineStr">
        <is>
          <t>SW 0,8/100</t>
        </is>
      </c>
      <c r="B1796" s="2" t="inlineStr">
        <is>
          <t>Home SW 0,8/100 forrasztóón, 0,8mm, 100g, európai gyártótól származó kiváló minőségű forrasztóón, összetétel: SN/PB: 60/40%, gyanta: 2,0%</t>
        </is>
      </c>
      <c r="C1796" s="1" t="n">
        <v>3990.0</v>
      </c>
      <c r="D1796" s="7" t="n">
        <f>HYPERLINK("https://www.somogyi.hu/product/home-sw-0-8-100-forrasztoon-0-8mm-100g-europai-gyartotol-szarmazo-kivalo-minosegu-forrasztoon-osszetetel-sn-pb-60-40-gyanta-2-0-sw-0-8-100-4421","https://www.somogyi.hu/product/home-sw-0-8-100-forrasztoon-0-8mm-100g-europai-gyartotol-szarmazo-kivalo-minosegu-forrasztoon-osszetetel-sn-pb-60-40-gyanta-2-0-sw-0-8-100-4421")</f>
        <v>0.0</v>
      </c>
      <c r="E1796" s="7" t="n">
        <f>HYPERLINK("https://www.somogyi.hu/data/img/product_main_images/small/04421.jpg","https://www.somogyi.hu/data/img/product_main_images/small/04421.jpg")</f>
        <v>0.0</v>
      </c>
      <c r="F1796" s="2" t="inlineStr">
        <is>
          <t>5998312738832</t>
        </is>
      </c>
      <c r="G1796" s="4" t="inlineStr">
        <is>
          <t>Egy kiváló minőségű forrasztóónt keres, amely pontos és tiszta forrasztási eredményeket biztosít? A Home SW 0,8/100 forrasztóón a tökéletes választás azok számára, akik az európai gyártású, megbízható forrasztóanyagokban bíznak. Ez a forrasztóón ideális választás széles körű villamos és elektronikai forrasztási feladatokhoz.
Az SN/PB 60/40% összetétel és a 2,0% gyanta tartalom biztosítja a kiváló forrasztási tulajdonságokat, miközben a 0,8 mm-es átmérő lehetővé teszi a precíz munkavégzést, még a legfinomabb forrasztási pontok esetén is. A 100g-os kiszerelés hosszú távra elegendő anyagot biztosít, legyen szó akár hobbi elektronikai projektekről, akár professzionális felhasználásról.
A Home SW 0,8/100 forrasztóón könnyen kezelhető és alkalmazható, így garantáltan sima és tiszta forrasztási felületeket érhet el vele. A gyantatartalom gondoskodik a forrasztófém megfelelő terjedéséről és tapadásáról, csökkentve a hibás forrasztások kockázatát és növelve az összeköttetések megbízhatóságát.
Válassza a Home SW 0,8/100 forrasztóónt, és biztosítsa projektjei sikerét azzal, hogy a legjobb minőségű anyagokkal dolgozik.</t>
        </is>
      </c>
    </row>
    <row r="1797">
      <c r="A1797" s="3" t="inlineStr">
        <is>
          <t>TS 500/30</t>
        </is>
      </c>
      <c r="B1797" s="2" t="inlineStr">
        <is>
          <t>Home TS 500/30 forrasztógyanta, 30 g, lágyító adalékot tartalmazónfolyósító gyanta, finom elektronikai forrasztási munkákhoz, savmentes</t>
        </is>
      </c>
      <c r="C1797" s="1" t="n">
        <v>1750.0</v>
      </c>
      <c r="D1797" s="7" t="n">
        <f>HYPERLINK("https://www.somogyi.hu/product/home-ts-500-30-forrasztogyanta-30-g-lagyito-adalekot-tartalmazonfolyosito-gyanta-finom-elektronikai-forrasztasi-munkakhoz-savmentes-ts-500-30-18273","https://www.somogyi.hu/product/home-ts-500-30-forrasztogyanta-30-g-lagyito-adalekot-tartalmazonfolyosito-gyanta-finom-elektronikai-forrasztasi-munkakhoz-savmentes-ts-500-30-18273")</f>
        <v>0.0</v>
      </c>
      <c r="E1797" s="7" t="n">
        <f>HYPERLINK("https://www.somogyi.hu/data/img/product_main_images/small/18273.jpg","https://www.somogyi.hu/data/img/product_main_images/small/18273.jpg")</f>
        <v>0.0</v>
      </c>
      <c r="F1797" s="2" t="inlineStr">
        <is>
          <t>5997539300655</t>
        </is>
      </c>
      <c r="G1797" s="4" t="inlineStr">
        <is>
          <t>Az elektronikai forrasztási munkák egyik elengedhetetlen kelléke a forrasztógyanta! Vásárlás előtt feltétlenül győződjön meg, hogy a magas színvonalú eredmény érdekében valóban a legjobb minőséget választotta-e!
Nálunk garantáltan jól jár! A TS 500 forrasztógyanta 30 g-os kivitelben kapható, amely egy lágyító adalékot tartalmazó folyósító gyanta. Előnye, hogy savmentes, ennek köszönhetően a felületen visszamaradva korróziót nem okoz. Válassza a minőségi termékeket és rendeljen webáruházunkból.</t>
        </is>
      </c>
    </row>
    <row r="1798">
      <c r="A1798" s="3" t="inlineStr">
        <is>
          <t>SW 0,8/250</t>
        </is>
      </c>
      <c r="B1798" s="2" t="inlineStr">
        <is>
          <t>Home SW 0,8/250 forrasztóón, 0,8mm, 250g, európai gyártótól származó kiváló minőségű forrasztóón, összetétel: SN/PB: 60/40%, gyanta: 2,0%</t>
        </is>
      </c>
      <c r="C1798" s="1" t="n">
        <v>9190.0</v>
      </c>
      <c r="D1798" s="7" t="n">
        <f>HYPERLINK("https://www.somogyi.hu/product/home-sw-0-8-250-forrasztoon-0-8mm-250g-europai-gyartotol-szarmazo-kivalo-minosegu-forrasztoon-osszetetel-sn-pb-60-40-gyanta-2-0-sw-0-8-250-4422","https://www.somogyi.hu/product/home-sw-0-8-250-forrasztoon-0-8mm-250g-europai-gyartotol-szarmazo-kivalo-minosegu-forrasztoon-osszetetel-sn-pb-60-40-gyanta-2-0-sw-0-8-250-4422")</f>
        <v>0.0</v>
      </c>
      <c r="E1798" s="7" t="n">
        <f>HYPERLINK("https://www.somogyi.hu/data/img/product_main_images/small/04422.jpg","https://www.somogyi.hu/data/img/product_main_images/small/04422.jpg")</f>
        <v>0.0</v>
      </c>
      <c r="F1798" s="2" t="inlineStr">
        <is>
          <t>5998312738849</t>
        </is>
      </c>
      <c r="G1798" s="4" t="inlineStr">
        <is>
          <t>Egy kiváló minőségű forrasztóónt keres, amely pontos és tiszta forrasztási eredményeket biztosít? A Home SW 0,8/250 forrasztóón a tökéletes választás azok számára, akik az európai gyártású, megbízható forrasztóanyagokban bíznak. Ez a forrasztóón ideális választás széles körű villamos és elektronikai forrasztási feladatokhoz.
Az SN/PB 60/40% összetétel és a 2,0% gyanta tartalom biztosítja a kiváló forrasztási tulajdonságokat, miközben a 0,8 mm-es átmérő lehetővé teszi a precíz munkavégzést, még a legfinomabb forrasztási pontok esetén is. A 250g-os kiszerelés hosszú távra elegendő anyagot biztosít, legyen szó akár hobbi elektronikai projektekről, akár professzionális felhasználásról.
A Home SW 0,8/250 forrasztóón könnyen kezelhető és alkalmazható, így garantáltan sima és tiszta forrasztási felületeket érhet el vele. A gyantatartalom gondoskodik a forrasztófém megfelelő terjedéséről és tapadásáról, csökkentve a hibás forrasztások kockázatát és növelve az összeköttetések megbízhatóságát.
Válassza a Home SW 0,8/250 forrasztóónt, és biztosítsa projektjei sikerét azzal, hogy a legjobb minőségű anyagokkal dolgozik.</t>
        </is>
      </c>
    </row>
    <row r="1799">
      <c r="A1799" s="3" t="inlineStr">
        <is>
          <t>SW 1/100</t>
        </is>
      </c>
      <c r="B1799" s="2" t="inlineStr">
        <is>
          <t>Home SW 1/100 forrasztóón, 1mm, 100g, európai gyártótól származó kiváló minőségű forrasztóón, összetétel: SN/PB: 60/40%, gyanta: 2,0%</t>
        </is>
      </c>
      <c r="C1799" s="1" t="n">
        <v>3990.0</v>
      </c>
      <c r="D1799" s="7" t="n">
        <f>HYPERLINK("https://www.somogyi.hu/product/home-sw-1-100-forrasztoon-1mm-100g-europai-gyartotol-szarmazo-kivalo-minosegu-forrasztoon-osszetetel-sn-pb-60-40-gyanta-2-0-sw-1-100-4425","https://www.somogyi.hu/product/home-sw-1-100-forrasztoon-1mm-100g-europai-gyartotol-szarmazo-kivalo-minosegu-forrasztoon-osszetetel-sn-pb-60-40-gyanta-2-0-sw-1-100-4425")</f>
        <v>0.0</v>
      </c>
      <c r="E1799" s="7" t="n">
        <f>HYPERLINK("https://www.somogyi.hu/data/img/product_main_images/small/04425.jpg","https://www.somogyi.hu/data/img/product_main_images/small/04425.jpg")</f>
        <v>0.0</v>
      </c>
      <c r="F1799" s="2" t="inlineStr">
        <is>
          <t>5998312738870</t>
        </is>
      </c>
      <c r="G1799" s="4" t="inlineStr">
        <is>
          <t>Egy kiváló minőségű forrasztóónt keres, amely pontos és tiszta forrasztási eredményeket biztosít? A Home SW 1/100 forrasztóón a tökéletes választás azok számára, akik az európai gyártású, megbízható forrasztóanyagokban bíznak. Ez a forrasztóón ideális választás széles körű villamos és elektronikai forrasztási feladatokhoz.
Az SN/PB 60/40% összetétel és a 2,0% gyanta tartalom biztosítja a kiváló forrasztási tulajdonságokat, miközben a 1 mm-es átmérő lehetővé teszi a precíz munkavégzést, még a legfinomabb forrasztási pontok esetén is. A 100g-os kiszerelés hosszú távra elegendő anyagot biztosít, legyen szó akár hobbi elektronikai projektekről, akár professzionális felhasználásról.
A Home SW 1/100 forrasztóón könnyen kezelhető és alkalmazható, így garantáltan sima és tiszta forrasztási felületeket érhet el vele. A gyantatartalom gondoskodik a forrasztófém megfelelő terjedéséről és tapadásáról, csökkentve a hibás forrasztások kockázatát és növelve az összeköttetések megbízhatóságát.
Válassza a Home SW 1/100 forrasztóónt, és biztosítsa projektjei sikerét azzal, hogy a legjobb minőségű anyagokkal dolgozik.</t>
        </is>
      </c>
    </row>
    <row r="1800">
      <c r="A1800" s="3" t="inlineStr">
        <is>
          <t>SWCU 1/100</t>
        </is>
      </c>
      <c r="B1800" s="2" t="inlineStr">
        <is>
          <t>Home SWCU 1/100 forrasztóón 1mm, 100g, európai gyártótól származó kiváló minőségű forrasztóón, összetétel: SN/PB: 60/40%, gyanta: 2,0%</t>
        </is>
      </c>
      <c r="C1800" s="1" t="n">
        <v>5790.0</v>
      </c>
      <c r="D1800" s="7" t="n">
        <f>HYPERLINK("https://www.somogyi.hu/product/home-swcu-1-100-forrasztoon-1mm-100g-europai-gyartotol-szarmazo-kivalo-minosegu-forrasztoon-osszetetel-sn-pb-60-40-gyanta-2-0-swcu-1-100-17371","https://www.somogyi.hu/product/home-swcu-1-100-forrasztoon-1mm-100g-europai-gyartotol-szarmazo-kivalo-minosegu-forrasztoon-osszetetel-sn-pb-60-40-gyanta-2-0-swcu-1-100-17371")</f>
        <v>0.0</v>
      </c>
      <c r="E1800" s="7" t="n">
        <f>HYPERLINK("https://www.somogyi.hu/data/img/product_main_images/small/17371.jpg","https://www.somogyi.hu/data/img/product_main_images/small/17371.jpg")</f>
        <v>0.0</v>
      </c>
      <c r="F1800" s="2" t="inlineStr">
        <is>
          <t>5999084953935</t>
        </is>
      </c>
      <c r="G1800" s="4" t="inlineStr">
        <is>
          <t>Keresi az ideális forrasztóónt, amely ólommentes és mégis rendkívül hatékony minden forrasztási feladatban? A Home SWCU 1/100 forrasztóón tökéletes választás azok számára, akik értékelik a környezetbarát megoldásokat, miközben nem akarnak kompromisszumot kötni a forrasztási minőség terén.
Ez a kiváló minőségű, 1 mm átmérőjű forrasztóón Sn/Cu ötvözetből készült, 99,3% ón és 0,7% réz arányban, biztosítva a jó forrasztási tulajdonságokat és a hosszú távú megbízhatóságot. A 2,5% gyanta tartalom garantálja, hogy a forrasztás során a fém könnyedén terjed és egyenletesen tapad, miközben a 230 - 250 °C közötti olvadáspont optimális hőmérsékletet kínál a legtöbb elektronikai forrasztási feladathoz.
A 100g-os nettó súlyú forrasztóón elegendő anyagot biztosít hosszabb ideig tartó projektekhez vagy több kisebb javításhoz. Az ólommentes összetétel nem csak a felhasználó, hanem a környezet számára is kedvezőbb választás, így ideális azok számára, akik fenntartható és biztonságos forrasztási megoldásokat keresnek.
Válassza a Home SWCU 1/100 forrasztóónt, és élvezze az ólommentes forrasztás minden előnyét anélkül, hogy feláldozná a minőséget vagy a megbízhatóságot.</t>
        </is>
      </c>
    </row>
    <row r="1801">
      <c r="A1801" s="6" t="inlineStr">
        <is>
          <t xml:space="preserve">   Mérés, szerszám, forrasztás / Ragasztópiszoly, ragasztórúd, kinyomópisztoly</t>
        </is>
      </c>
      <c r="B1801" s="6" t="inlineStr">
        <is>
          <t/>
        </is>
      </c>
      <c r="C1801" s="6" t="inlineStr">
        <is>
          <t/>
        </is>
      </c>
      <c r="D1801" s="6" t="inlineStr">
        <is>
          <t/>
        </is>
      </c>
      <c r="E1801" s="6" t="inlineStr">
        <is>
          <t/>
        </is>
      </c>
      <c r="F1801" s="6" t="inlineStr">
        <is>
          <t/>
        </is>
      </c>
      <c r="G1801" s="6" t="inlineStr">
        <is>
          <t/>
        </is>
      </c>
    </row>
    <row r="1802">
      <c r="A1802" s="3" t="inlineStr">
        <is>
          <t>SMA 067T</t>
        </is>
      </c>
      <c r="B1802" s="2" t="inlineStr">
        <is>
          <t>Home SMA 067T ragasztórúd, ∅11mmx100mm, 10dbx11g, SMA 008, SMA 007, SMA 006, GK-380B ragasztópisztolyhoz</t>
        </is>
      </c>
      <c r="C1802" s="1" t="n">
        <v>1150.0</v>
      </c>
      <c r="D1802" s="7" t="n">
        <f>HYPERLINK("https://www.somogyi.hu/product/home-sma-067t-ragasztorud-11mmx100mm-10dbx11g-sma-008-sma-007-sma-006-gk-380b-ragasztopisztolyhoz-sma-067t-6707","https://www.somogyi.hu/product/home-sma-067t-ragasztorud-11mmx100mm-10dbx11g-sma-008-sma-007-sma-006-gk-380b-ragasztopisztolyhoz-sma-067t-6707")</f>
        <v>0.0</v>
      </c>
      <c r="E1802" s="7" t="n">
        <f>HYPERLINK("https://www.somogyi.hu/data/img/product_main_images/small/06707.jpg","https://www.somogyi.hu/data/img/product_main_images/small/06707.jpg")</f>
        <v>0.0</v>
      </c>
      <c r="F1802" s="2" t="inlineStr">
        <is>
          <t>5998312757437</t>
        </is>
      </c>
      <c r="G1802" s="4" t="inlineStr">
        <is>
          <t>A ragasztópisztollyal történő munkálatok során gyakran jól jöhet, ha van nálunk egy tartalék csomag ragasztórúd. Ebben az esetben is érdemes a minőséget keresni, hogy valóban a legmagasabb színvonalú eredményt kapjuk meg.
Az SMA 067T alkalmazható a GK-380B, SMA 008, SMA 007 és SMA 006 ragasztópisztolyokhoz. Mérete: ∅11 mm x 100 mm. Kiszerelés: 10 db x 11 g. Válassza a minőségi termékeket és rendeljen webáruházunkból.</t>
        </is>
      </c>
    </row>
    <row r="1803">
      <c r="A1803" s="3" t="inlineStr">
        <is>
          <t>SMA 005T</t>
        </is>
      </c>
      <c r="B1803" s="2" t="inlineStr">
        <is>
          <t>Home SMA 005T ragasztórúd, -∅7mmx100mm -20dbx4,5g, SMA 005 és SMA 009 ragasztópisztolyhoz, 20db/csomag</t>
        </is>
      </c>
      <c r="C1803" s="1" t="n">
        <v>1250.0</v>
      </c>
      <c r="D1803" s="7" t="n">
        <f>HYPERLINK("https://www.somogyi.hu/product/home-sma-005t-ragasztorud-7mmx100mm-20dbx4-5g-sma-005-es-sma-009-ragasztopisztolyhoz-20db-csomag-sma-005t-6706","https://www.somogyi.hu/product/home-sma-005t-ragasztorud-7mmx100mm-20dbx4-5g-sma-005-es-sma-009-ragasztopisztolyhoz-20db-csomag-sma-005t-6706")</f>
        <v>0.0</v>
      </c>
      <c r="E1803" s="7" t="n">
        <f>HYPERLINK("https://www.somogyi.hu/data/img/product_main_images/small/06706.jpg","https://www.somogyi.hu/data/img/product_main_images/small/06706.jpg")</f>
        <v>0.0</v>
      </c>
      <c r="F1803" s="2" t="inlineStr">
        <is>
          <t>5998312757420</t>
        </is>
      </c>
      <c r="G1803" s="4" t="inlineStr">
        <is>
          <t>Gondolt már arra, hogy mennyire fontos a megfelelő ragasztórúd kiválasztása kreatív projektjeihez vagy a hétköznapi javításokhoz? A Home SMA 005T ragasztórúd az ideális választás, ha pontos és tartós kötést szeretne elérni. 
Ezek a ragasztórudak ∅7mm átmérőjűek és 100mm hosszúak, minden csomag 20 darab 4,5g-os rudat tartalmaz, így biztosítva, hogy elegendő anyaggal rendelkezzen a munkájához.
A Home SMA 005 és SMA 009 ragasztópisztoly és ezekkel kompatibilis modellekhez tervezték, így optimális teljesítményt biztosítanak minden használatkor. Akár otthoni javításról, akár művészeti és kézműves projektjeiről van szó, ezek a ragasztórudak kiváló minőségű kötést eredményeznek, gyorsan száradnak és erős tartást biztosítanak.
Ne hagyja, hogy a gyenge minőségű ragasztórudak tönkretegyék projektjeit! Válassza a Home SMA 005T ragasztórudakat a megbízható és hosszantartó eredményekért.</t>
        </is>
      </c>
    </row>
    <row r="1804">
      <c r="A1804" s="3" t="inlineStr">
        <is>
          <t>SMA 005</t>
        </is>
      </c>
      <c r="B1804" s="2" t="inlineStr">
        <is>
          <t>Home SMA 005 ragasztópisztoly, mini kivitel, 10 (30) W / 230 V~ / 50 Hz, gyors, pontos ragasztás, kihajtható asztali támaszték, 2 db ajándék ragasztórúd</t>
        </is>
      </c>
      <c r="C1804" s="1" t="n">
        <v>1890.0</v>
      </c>
      <c r="D1804" s="7" t="n">
        <f>HYPERLINK("https://www.somogyi.hu/product/home-sma-005-ragasztopisztoly-mini-kivitel-10-30-w-230-v-50-hz-gyors-pontos-ragasztas-kihajthato-asztali-tamasztek-2-db-ajandek-ragasztorud-sma-005-6703","https://www.somogyi.hu/product/home-sma-005-ragasztopisztoly-mini-kivitel-10-30-w-230-v-50-hz-gyors-pontos-ragasztas-kihajthato-asztali-tamasztek-2-db-ajandek-ragasztorud-sma-005-6703")</f>
        <v>0.0</v>
      </c>
      <c r="E1804" s="7" t="n">
        <f>HYPERLINK("https://www.somogyi.hu/data/img/product_main_images/small/06703.jpg","https://www.somogyi.hu/data/img/product_main_images/small/06703.jpg")</f>
        <v>0.0</v>
      </c>
      <c r="F1804" s="2" t="inlineStr">
        <is>
          <t>5998312757390</t>
        </is>
      </c>
      <c r="G1804" s="4" t="inlineStr">
        <is>
          <t>Egy kis méretű, mégis erőteljes ragasztópisztolyt keres a precíz és gyors munkavégzéshez? A Home SMA 005 ragasztópisztoly a tökéletes társ minden kreatív projektben és otthoni javításban.
Ez a mini ragasztópisztoly 10 (30) W / 230 V~ / 50 Hz teljesítménnyel rendelkezik, így gyorsan felmelegszik és készen áll a használatra, amikor Önnek szüksége van rá.
A gyors, pontos ragasztást és az 1 perces száradási időt biztosító SMA 005 tökéletes választás azok számára, akik nem szeretnék hosszú időt várni a projektjeik befejezésével. A kihajtható asztali támaszték tovább növeli a kényelmet és biztonságot a használat során, lehetővé téve a pisztoly stabil elhelyezését munkavégzés közben.
Minden Home SMA 005 ragasztópisztolyhoz 2 db ajándék ragasztórúd jár, így azonnal kezdheti a munkát a készülék megérkezésekor. Az ajánlott SMA 005T ragasztórudak használata biztosítja a legjobb teljesítményt és az eredmények hosszú távú tartósságát.
Ne hagyja, hogy a nagyméretű ragasztópisztolyok nehezítsék munkáját; válassza a Home SMA 005 mini ragasztópisztolyt a könnyed, gyors és pontos ragasztás érdekében.</t>
        </is>
      </c>
    </row>
    <row r="1805">
      <c r="A1805" s="3" t="inlineStr">
        <is>
          <t>SMA 007</t>
        </is>
      </c>
      <c r="B1805" s="2" t="inlineStr">
        <is>
          <t>Home SMA 007 ragasztópisztoly, -25 (100) W / 230V~/ 50Hz, gyors, pontos ragasztás, kihajtható asztali támaszték, 2 db ajándék ragasztórúd</t>
        </is>
      </c>
      <c r="C1805" s="1" t="n">
        <v>3590.0</v>
      </c>
      <c r="D1805" s="7" t="n">
        <f>HYPERLINK("https://www.somogyi.hu/product/home-sma-007-ragasztopisztoly-25-100-w-230v-50hz-gyors-pontos-ragasztas-kihajthato-asztali-tamasztek-2-db-ajandek-ragasztorud-sma-007-6705","https://www.somogyi.hu/product/home-sma-007-ragasztopisztoly-25-100-w-230v-50hz-gyors-pontos-ragasztas-kihajthato-asztali-tamasztek-2-db-ajandek-ragasztorud-sma-007-6705")</f>
        <v>0.0</v>
      </c>
      <c r="E1805" s="7" t="n">
        <f>HYPERLINK("https://www.somogyi.hu/data/img/product_main_images/small/06705.jpg","https://www.somogyi.hu/data/img/product_main_images/small/06705.jpg")</f>
        <v>0.0</v>
      </c>
      <c r="F1805" s="2" t="inlineStr">
        <is>
          <t>5998312757413</t>
        </is>
      </c>
      <c r="G1805" s="4" t="inlineStr">
        <is>
          <t>Az SMA 007 segítségével a ragasztás gyorsan és pontosan végezhető el. A termék előnye, hogy rendkívül gyors száradási idővel dolgozik (mindössze csak 1 perc!).
A könnyed kezelhetőséget elősegíti a kihajtható asztali támaszték. A termékhez ajánlott ragasztórúd: SMA 067T (a készülékhez 2 db ajándék ragasztórúd is tartozik). Felhasználhatósága: 25 (100) W / 230 V~ / 50 Hz. Válassza a minőségi termékeket és rendeljen webáruházunkból.</t>
        </is>
      </c>
    </row>
    <row r="1806">
      <c r="A1806" s="6" t="inlineStr">
        <is>
          <t xml:space="preserve">   Mérés, szerszám, forrasztás / Univerzális szike</t>
        </is>
      </c>
      <c r="B1806" s="6" t="inlineStr">
        <is>
          <t/>
        </is>
      </c>
      <c r="C1806" s="6" t="inlineStr">
        <is>
          <t/>
        </is>
      </c>
      <c r="D1806" s="6" t="inlineStr">
        <is>
          <t/>
        </is>
      </c>
      <c r="E1806" s="6" t="inlineStr">
        <is>
          <t/>
        </is>
      </c>
      <c r="F1806" s="6" t="inlineStr">
        <is>
          <t/>
        </is>
      </c>
      <c r="G1806" s="6" t="inlineStr">
        <is>
          <t/>
        </is>
      </c>
    </row>
    <row r="1807">
      <c r="A1807" s="3" t="inlineStr">
        <is>
          <t>SZK 21</t>
        </is>
      </c>
      <c r="B1807" s="2" t="inlineStr">
        <is>
          <t>Home SZK 21 szike, fém pengevezető, műanyag burkolat, 18 mm-es penge</t>
        </is>
      </c>
      <c r="C1807" s="1" t="n">
        <v>699.0</v>
      </c>
      <c r="D1807" s="7" t="n">
        <f>HYPERLINK("https://www.somogyi.hu/product/home-szk-21-szike-fem-pengevezeto-muanyag-burkolat-18-mm-es-penge-szk-21-6486","https://www.somogyi.hu/product/home-szk-21-szike-fem-pengevezeto-muanyag-burkolat-18-mm-es-penge-szk-21-6486")</f>
        <v>0.0</v>
      </c>
      <c r="E1807" s="7" t="n">
        <f>HYPERLINK("https://www.somogyi.hu/data/img/product_main_images/small/06486.jpg","https://www.somogyi.hu/data/img/product_main_images/small/06486.jpg")</f>
        <v>0.0</v>
      </c>
      <c r="F1807" s="2" t="inlineStr">
        <is>
          <t>5998312755327</t>
        </is>
      </c>
      <c r="G1807" s="4" t="inlineStr">
        <is>
          <t>Egy megbízható és pontos szikét keres, amely minden precíziós vágási feladatot könnyedén megold? A Home SZK 21 szike ideális eszköz az Ön számára. 
Ez a szike kiváló minőségű műanyag burkolattal és fém pengevezetővel rendelkezik, amely garantálja a stabilitást és precizitást minden vágásnál. A csomag egy 18 mm-es pengét is tartalmaz, így azonnal használatra kész, amint kezébe veszi. A szike ergonómikus tervezése biztosítja a kényelmes fogást és könnyű manőverezhetőséget, legyen szó hobbiprojektekről, művészeti munkákról vagy akár otthoni javításokról. A fém pengevezető tovább erősíti a szerszám stabilitását, így még a legnehezebb anyagokkal – mint például a karton, a műanyag vagy a vékony fémlemezek – szemben is pontos vágást tesz lehetővé.
Ajánljuk a külön megvásárolható SZKB 21 tartalékpenge csomagot is, amely biztosítja, hogy mindig legyen kéznél éles penge, amikor szükség van rá. A pengecsere egyszerű és gyors, így a munka nem marad abba a penge életének végén.
Ne hagyja, hogy a pontatlan vágások megakadályozzák projektjei sikerét! A Home SZK 21 szike a tökéletes kombinációja a kényelemnek, stabilitásnak és precizitásnak, amely minden precíziós vágási feladathoz elengedhetetlen.</t>
        </is>
      </c>
    </row>
    <row r="1808">
      <c r="A1808" s="3" t="inlineStr">
        <is>
          <t>SZKB 21</t>
        </is>
      </c>
      <c r="B1808" s="2" t="inlineStr">
        <is>
          <t>Home SZKB 21 tartalékpenge, 18 mm, 10 darabos</t>
        </is>
      </c>
      <c r="C1808" s="1" t="n">
        <v>509.0</v>
      </c>
      <c r="D1808" s="7" t="n">
        <f>HYPERLINK("https://www.somogyi.hu/product/home-szkb-21-tartalekpenge-18-mm-10-darabos-szkb-21-16572","https://www.somogyi.hu/product/home-szkb-21-tartalekpenge-18-mm-10-darabos-szkb-21-16572")</f>
        <v>0.0</v>
      </c>
      <c r="E1808" s="7" t="n">
        <f>HYPERLINK("https://www.somogyi.hu/data/img/product_main_images/small/16572.jpg","https://www.somogyi.hu/data/img/product_main_images/small/16572.jpg")</f>
        <v>0.0</v>
      </c>
      <c r="F1808" s="2" t="inlineStr">
        <is>
          <t>5999084946043</t>
        </is>
      </c>
      <c r="G1808" s="4" t="inlineStr">
        <is>
          <t>Kérlek hogy írj meg weboldalra egy terjedelmes keresőoptimalizált, vásárlók által jól érthető és értelmezhető termékleírást, melynek az első mondata legyen figyelemfelkeltő, esetleg olyan kérdést, ami egy vásárló fejében megfogalmazódhat. A második mondattól már foglald bele a termékjellemzőket és specifikációkat, ezek kapcsolódjanak egymáshoz. A termékleírást zárjad cselekvésre ösztönző, kedvcsináló mondattal. 
A termékleírások legyenek mindig változatosak, ne használj szóismétlést, ne tegeződj, és legyenek jól érthetők de színesek. A magyar helyesírás szabályai szerint fogalmazz. Kérlek a termékleírást jól átláthatóan fogalmazd meg, hogy aki olvassa, jól el tudja különíteni a részeket. Tegyél bele marketing szövegeket, hogy jobban értékesíthető legyen a termék interneten
A termék megnevezése: Home SZKB 21 tartalékpenge, 18 mm, 10 darabos
 SZK 20, SZK 21, SZK 30 és SZK 31 univerzális szikéhez
18 mm, 10 db/csomag
Eltompult vagy eltört szikéjében a penge, és hatékonyabb megoldásra van szüksége a vágási feladatokhoz?
A Home SZKB 21 tartalékpenge a tökéletes választás, ha univerzális szikéjét új életre szeretné kelteni. A 18 mm-es pengék kompatibilisek az SZK 20, SZK 21, SZK 30 és SZK 31 típusú szikékkel, így sokoldalúan használhatók különféle vágási feladatokhoz. A csomag 10 darab tartalékpengét tartalmaz, így hosszú időre biztosítja a megfelelő élességet és hatékonyságot, legyen szó papírról, kartonról, műanyagról vagy akár vékonyabb faanyagokról.
Főbb jellemzők:
- Kompatibilitás: Az SZK 20, SZK 21, SZK 30 és SZK 31 univerzális szikékkel egyaránt használható, így nem kell új szikét vásárolnia
- 18 mm-es penge szélesség: Ideális méret a precíz és gyors vágáshoz különféle anyagokon
- Tartós kialakítás: A pengék kiváló minőségű acélból készültek, így hosszan megőrzik élességüket és strapabírók maradnak még intenzív használat mellett is
- 10 darabos csomag: Hosszú távú megoldást kínál, hogy mindig kéznél legyen az utánpótlás
- Bliszteres csomagolás: Praktikus és biztonságos tárolást biztosít, hogy a pengék ne sérüljenek szállítás vagy tárolás közben
Miért válassza a Home SZKB 21 tartalékpengét?
Az éles és strapabíró pengék elengedhetetlenek minden precíziós vágási munkához. Legyen szó barkácsolásról, irodai munkáról vagy háztartási feladatokról, ezek a tartalékpengék garantáltan megkönnyítik a munkát. A 10 darabos kiszerelés biztosítja, hogy soha ne kelljen kompromisszumot kötnie a minőség rovására.
Tartsa kéznél a mindig éles és megbízható Home SZKB 21 tartalékpengét, és vágjon könnyedén, pontosan, bármilyen feladatot is végezzen! Vásárolja meg most, és élvezze a zavartalan munkavégzés előnyeit!</t>
        </is>
      </c>
    </row>
    <row r="1809">
      <c r="A1809" s="3" t="inlineStr">
        <is>
          <t>SZK 20</t>
        </is>
      </c>
      <c r="B1809" s="2" t="inlineStr">
        <is>
          <t>Home SZK 20 szike, műanyag burkolat, 18 mm-es penge</t>
        </is>
      </c>
      <c r="C1809" s="1" t="n">
        <v>419.0</v>
      </c>
      <c r="D1809" s="7" t="n">
        <f>HYPERLINK("https://www.somogyi.hu/product/home-szk-20-szike-muanyag-burkolat-18-mm-es-penge-szk-20-6485","https://www.somogyi.hu/product/home-szk-20-szike-muanyag-burkolat-18-mm-es-penge-szk-20-6485")</f>
        <v>0.0</v>
      </c>
      <c r="E1809" s="7" t="n">
        <f>HYPERLINK("https://www.somogyi.hu/data/img/product_main_images/small/06485.jpg","https://www.somogyi.hu/data/img/product_main_images/small/06485.jpg")</f>
        <v>0.0</v>
      </c>
      <c r="F1809" s="2" t="inlineStr">
        <is>
          <t>5998312755310</t>
        </is>
      </c>
      <c r="G1809" s="4" t="inlineStr">
        <is>
          <t>Az ideális szerszámot keresi, amely pontos és tiszta vágást garantál kisebb barkácsolási vagy hobbiprojektekhez? A Home SZK 20 szike az, amire szüksége van. 
Ez a kézreálló szike műanyag burkolattal rendelkezik, amely nem csak tartós, de könnyű is, így biztosítja a kényelmes és pontos vágást hosszú időn keresztül.
A csomag tartalmaz egy 18 mm-es pengét, amely éles és precíz, tökéletes választás papír, karton, vékony műanyag vagy akár textil anyagok vágásához. Az egyszerűen cserélhető penge lehetővé teszi, hogy mindig a lehető legjobb élességet biztosíthassa munkájához, növelve ezzel a munka hatékonyságát és minőségét. Amennyiben pótpengére lenne szüksége, úgy válassza a SZKB 21 tartalékpenge csomagot.
A Home SZK 20 szike nem csak praktikus és hatékony, hanem biztonságos is. A műanyag burkolat megvédi a kezét a véletlen sérülésektől, miközben a szike ergonómikus tervezése biztosítja, hogy a vágás során mindig tökéletes ellenőrzése legyen a szerszám felett.
Ne hagyja, hogy az életlen vagy kényelmetlen szerszámok akadályozzák projektjeit! A Home SZK 20 szike segítségével minden vágási feladat egyszerűvé és pontosabbá válik.</t>
        </is>
      </c>
    </row>
    <row r="1810">
      <c r="A1810" s="6" t="inlineStr">
        <is>
          <t xml:space="preserve">   Mérés, szerszám, forrasztás / Fogó</t>
        </is>
      </c>
      <c r="B1810" s="6" t="inlineStr">
        <is>
          <t/>
        </is>
      </c>
      <c r="C1810" s="6" t="inlineStr">
        <is>
          <t/>
        </is>
      </c>
      <c r="D1810" s="6" t="inlineStr">
        <is>
          <t/>
        </is>
      </c>
      <c r="E1810" s="6" t="inlineStr">
        <is>
          <t/>
        </is>
      </c>
      <c r="F1810" s="6" t="inlineStr">
        <is>
          <t/>
        </is>
      </c>
      <c r="G1810" s="6" t="inlineStr">
        <is>
          <t/>
        </is>
      </c>
    </row>
    <row r="1811">
      <c r="A1811" s="3" t="inlineStr">
        <is>
          <t>1PK-067DS</t>
        </is>
      </c>
      <c r="B1811" s="2" t="inlineStr">
        <is>
          <t>Pro'skit 1PK-067DS csípőfogó, 165mm, indukciós edzésű vágóél, acél</t>
        </is>
      </c>
      <c r="C1811" s="1" t="n">
        <v>4090.0</v>
      </c>
      <c r="D1811" s="7" t="n">
        <f>HYPERLINK("https://www.somogyi.hu/product/pro-skit-1pk-067ds-csipofogo-165mm-indukcios-edzesu-vagoel-acel-1pk-067ds-16266","https://www.somogyi.hu/product/pro-skit-1pk-067ds-csipofogo-165mm-indukcios-edzesu-vagoel-acel-1pk-067ds-16266")</f>
        <v>0.0</v>
      </c>
      <c r="E1811" s="7" t="n">
        <f>HYPERLINK("https://www.somogyi.hu/data/img/product_main_images/small/16266.jpg","https://www.somogyi.hu/data/img/product_main_images/small/16266.jpg")</f>
        <v>0.0</v>
      </c>
      <c r="F1811" s="2" t="inlineStr">
        <is>
          <t>5999084942984</t>
        </is>
      </c>
      <c r="G1811" s="4" t="inlineStr">
        <is>
          <t>Szüksége van egy olyan eszközre, amely pontos vágást és csupaszolást tesz lehetővé minden egyes használatkor? A Pro'skit 1PK-067DS csípőfogó kiválóan alkalmas minden szakember és DIY (do it yourself azaz csináld magad) rajongó számára, akik precíziós munkavégzést és tartósságot keresnek egy eszközben. 
Ez a 165 mm hosszúságú csípőfogó minőségi acélból készült, amely garantálja a megbízható teljesítményt és az ellenálló képességet a mindennapi használat során.
Az indukciós edzésű keményített vágóél lehetővé teszi a tiszta és precíz vágásokat, legyen szó bármilyen vezeték vagy kis alkatrész átvágásáról. A finomra polírozott külső nemcsak esztétikus megjelenést biztosít, hanem hosszú távon is megőrzi az eszköz állapotát, így az évek során is megtartja fényét és ellenálló képességét.
A gumírozott, vastagon burkolt markolat ergonomikus kialakítása kényelmes fogást és csúszásmentes használatot biztosít, így még a hosszabb ideig tartó munkavégzés is kevésbé fárasztó. 
A Pro'skit 1PK-067DS csípőfogó tökéletes választás azok számára, akik nem akarnak kompromisszumot kötni a minőség és a kényelem terén. Bízza a precíziós vágási és csupaszolási munkáit a Pro'skit 1PK-067DS csípőfogóra, és tapasztalja meg, milyen könnyedén és hatékonyan végezheti el a feladatokat.</t>
        </is>
      </c>
    </row>
    <row r="1812">
      <c r="A1812" s="3" t="inlineStr">
        <is>
          <t>6PK-230C</t>
        </is>
      </c>
      <c r="B1812" s="2" t="inlineStr">
        <is>
          <t>Pro'skit 6PK-230C préselő fogó, 220 mm, 0,5 - 6 mm^2-ig, racsnis áttétel, 6 féle nyomaték</t>
        </is>
      </c>
      <c r="C1812" s="1" t="n">
        <v>16490.0</v>
      </c>
      <c r="D1812" s="7" t="n">
        <f>HYPERLINK("https://www.somogyi.hu/product/pro-skit-6pk-230c-preselo-fogo-220-mm-0-5-6-mm-2-ig-racsnis-attetel-6-fele-nyomatek-6pk-230c-4677","https://www.somogyi.hu/product/pro-skit-6pk-230c-preselo-fogo-220-mm-0-5-6-mm-2-ig-racsnis-attetel-6-fele-nyomatek-6pk-230c-4677")</f>
        <v>0.0</v>
      </c>
      <c r="E1812" s="7" t="n">
        <f>HYPERLINK("https://www.somogyi.hu/data/img/product_main_images/small/04677.jpg","https://www.somogyi.hu/data/img/product_main_images/small/04677.jpg")</f>
        <v>0.0</v>
      </c>
      <c r="F1812" s="2" t="inlineStr">
        <is>
          <t>5998312741276</t>
        </is>
      </c>
      <c r="G1812" s="4" t="inlineStr">
        <is>
          <t>Azt az eszközt keresi, ami megbízható segítséget nyújt szigeteletlen saruk préseléséhez? A Pro'skit 6PK-230C préselő fogó az ideális választás minden profi és hobbi elektronikai munkához.
Ezzel a 220 mm hosszú fogóval könnyedén és precízen préselhet szigeteletlen sarukat a 0,5 mm²-től 6 mm²-ig terjedő méretskálán. A racsnis áttétellel és automatikus reteszeléssel rendelkező kialakítás biztosítja, hogy minden préselés pontos és biztonságos legyen. Ha mégis hibás préselés történne, a fogóban található oldható retesz lehetővé teszi, hogy gyorsan korrigálhassa a hibát anélkül, hogy kárt tenne az alkatrészben vagy magában az eszközben. A 6-féle kiválasztható nyomatékbeállítási lehetőség révén a Pro'skit 6PK-230C préselő fogó rendkívül sokoldalú; lehetővé teszi, hogy minden méretű és típusú szigeteletlen sarkot pontosan és megbízhatóan préseljen, a projektjének megfelelően.
Ne engedje, hogy az eszközök hiánya vagy pontatlansága hátráltassa munkáját. A Pro'skit 6PK-230C préselő fogóval professzionális eredményeket érhet el minden egyes használatkor.</t>
        </is>
      </c>
    </row>
    <row r="1813">
      <c r="A1813" s="3" t="inlineStr">
        <is>
          <t>EVHF6</t>
        </is>
      </c>
      <c r="B1813" s="2" t="inlineStr">
        <is>
          <t>Home EVHF6 önbeálló érvéghüvely préselő fogó,  0.25-6.00mm2, automatikus működésű retesz, professzionális, hatlapú fej, nagy nyomaték</t>
        </is>
      </c>
      <c r="C1813" s="1" t="n">
        <v>7690.0</v>
      </c>
      <c r="D1813" s="7" t="n">
        <f>HYPERLINK("https://www.somogyi.hu/product/home-evhf6-onbeallo-erveghuvely-preselo-fogo-0-25-6-00mm2-automatikus-mukodesu-retesz-professzionalis-hatlapu-fej-nagy-nyomatek-evhf6-18713","https://www.somogyi.hu/product/home-evhf6-onbeallo-erveghuvely-preselo-fogo-0-25-6-00mm2-automatikus-mukodesu-retesz-professzionalis-hatlapu-fej-nagy-nyomatek-evhf6-18713")</f>
        <v>0.0</v>
      </c>
      <c r="E1813" s="7" t="n">
        <f>HYPERLINK("https://www.somogyi.hu/data/img/product_main_images/small/18713.jpg","https://www.somogyi.hu/data/img/product_main_images/small/18713.jpg")</f>
        <v>0.0</v>
      </c>
      <c r="F1813" s="2" t="inlineStr">
        <is>
          <t>5999084967314</t>
        </is>
      </c>
      <c r="G1813" s="4" t="inlineStr">
        <is>
          <t>Hogyan érhet el tökéletes csatlakozásokat könnyedén és hatékonyan? A Home EVHF6 önbeálló érvéghüvely préselő fogó professzionális megoldást kínál a precíziós munkákhoz, akár ipari, akár otthoni használatra. Az eszköz automatikus működésű reteszének és a legújabb önbeálló technológiának köszönhetően a hüvelyméret automatikusan illeszkedik a szükséges paraméterekhez, megkönnyítve ezzel a használatot. A masszív kialakítás és a hatlapú préselési technológia biztosítja a megbízható, stabil csatlakozásokat.
Innovatív önbeálló technológia a gyors és pontos munkáért.  A Home EVHF6 érvéghüvely préselő fogó a legújabb önbeálló technológiával rendelkezik, amely automatikusan alkalmazkodik a hüvelyméretekhez (0,25-6,00 mm²). Ez nemcsak gyorsítja a munkafolyamatot, hanem minimalizálja a hibalehetőségeket is. A hatlapú préselés szinte kör alakú csatlakozást eredményez, amely szorosabban illeszkedik a vezetékre, ezáltal csökkenti a vezeték sérülésének kockázatát, és megbízható csatlakozásokat biztosít.
Professzionális kivitel, amely minden igénynek megfelel . Az eszköz masszív, strapabíró konstrukciója hosszú élettartamot garantál, míg a beállítható préselési tartomány lehetővé teszi, hogy a különböző munkafolyamatokhoz pontosan igazodjon. Az ergonomikus kialakítás minimális nyomóerő mellett nagy nyomatékot biztosít, így kényelmesen használható hosszabb munkák során is. Az automatikus működésű retesz tovább növeli a hatékonyságot, biztosítva a gyors és pontos működést.
Könnyű és kompakt kialakítás a maximális kényelemért . A mindössze 175 mm hosszú és 400 g súlyú eszköz egyszerre kompakt és könnyen hordozható. Kialakítása ideális azok számára, akik rendszeresen dolgoznak érvéghüvelyekkel, és nagyra értékelik a megbízhatóságot és a praktikus használatot.
Miért válassza a Home EVHF6 érvéghüvely préselő fogót? 
– Automatikus önbeálló technológia a gyors és hibamentes használat érdekében.
 – Hatlapú préselési forma a szoros és megbízható csatlakozásokhoz. 
– Strapabíró és professzionális kivitel, amely hosszú távon is megbízható.
 – Ergonomikus kialakítás, amely minimális erőfeszítéssel maximális hatékonyságot biztosít. 
– Kompakt és könnyű, így egyszerűen szállítható és tárolható.
Tegye hatékonyabbá és precízebbé munkáját a Home EVHF6 érvéghüvely préselő fogóval!</t>
        </is>
      </c>
    </row>
    <row r="1814">
      <c r="A1814" s="3" t="inlineStr">
        <is>
          <t>1PK-052DS</t>
        </is>
      </c>
      <c r="B1814" s="2" t="inlineStr">
        <is>
          <t>Pro'skit 1PK-052DS kombinált fogó, 162mm, indukciós edzésű vágóél, acél</t>
        </is>
      </c>
      <c r="C1814" s="1" t="n">
        <v>4790.0</v>
      </c>
      <c r="D1814" s="7" t="n">
        <f>HYPERLINK("https://www.somogyi.hu/product/pro-skit-1pk-052ds-kombinalt-fogo-162mm-indukcios-edzesu-vagoel-acel-1pk-052ds-16265","https://www.somogyi.hu/product/pro-skit-1pk-052ds-kombinalt-fogo-162mm-indukcios-edzesu-vagoel-acel-1pk-052ds-16265")</f>
        <v>0.0</v>
      </c>
      <c r="E1814" s="7" t="n">
        <f>HYPERLINK("https://www.somogyi.hu/data/img/product_main_images/small/16265.jpg","https://www.somogyi.hu/data/img/product_main_images/small/16265.jpg")</f>
        <v>0.0</v>
      </c>
      <c r="F1814" s="2" t="inlineStr">
        <is>
          <t>5999084942977</t>
        </is>
      </c>
      <c r="G1814" s="4" t="inlineStr">
        <is>
          <t>Egy megbízható eszközt keres, amely minden szükséges funkciót egyesít, hogy munkáját egyszerűbbé és hatékonyabbá tegye? A Pro'skit 1PK-052DS kombinált fogó a tökéletes választás az Ön számára. 
Ez a 162 mm hosszúságú fogó kiváló minőségű acélból készült, garantálva a tartósságot és a megbízható teljesítményt minden felhasználási területen.
A precíz kiképzésű fogófelület biztosítja a fogás erősségét és pontosságát, legyen szó bármilyen csupaszolási, szorítási vagy hajlítási munkáról. Az indukciós edzésű keményített vágóél különösen hasznos a vezetékek vagy kis alkatrészek vágásakor, biztosítva az éles és tiszta vágást minden használatkor.
A gumírozott, vastagon burkolt markolat kialakítása kényelmes fogást nyújt, még hosszantartó használat során is, csökkentve a kezek fáradását és növelve a munka hatékonyságát. Ez a funkcióval bővített eszköz ideális választás szakemberek és barkácsolók számára egyaránt, akik egy sokoldalú és megbízható fogóra vágynak.
Ne hagyja, hogy a kevésbé hatékony eszközök akadályozzák projektjeinek sikerét! Válassza a Pro'skit 1PK-052DS kombinált fogót, és tapasztalja meg a precízió, tartósság és sokoldalúság előnyeit.</t>
        </is>
      </c>
    </row>
    <row r="1815">
      <c r="A1815" s="3" t="inlineStr">
        <is>
          <t>CP-080E</t>
        </is>
      </c>
      <c r="B1815" s="2" t="inlineStr">
        <is>
          <t>Pro'skit CP-080E kábelcsopaszoló, 172 mm, 0,2-0,6 mm^2-ig, állítható hossz</t>
        </is>
      </c>
      <c r="C1815" s="1" t="n">
        <v>5190.0</v>
      </c>
      <c r="D1815" s="7" t="n">
        <f>HYPERLINK("https://www.somogyi.hu/product/pro-skit-cp-080e-kabelcsopaszolo-172-mm-0-2-0-6-mm-2-ig-allithato-hossz-cp-080e-11873","https://www.somogyi.hu/product/pro-skit-cp-080e-kabelcsopaszolo-172-mm-0-2-0-6-mm-2-ig-allithato-hossz-cp-080e-11873")</f>
        <v>0.0</v>
      </c>
      <c r="E1815" s="7" t="n">
        <f>HYPERLINK("https://www.somogyi.hu/data/img/product_main_images/small/11873.jpg","https://www.somogyi.hu/data/img/product_main_images/small/11873.jpg")</f>
        <v>0.0</v>
      </c>
      <c r="F1815" s="2" t="inlineStr">
        <is>
          <t>5999084900854</t>
        </is>
      </c>
      <c r="G1815" s="4" t="inlineStr">
        <is>
          <t>Van már olyan kábelcsupaszolója, amely könnyedén alkalmazkodik a különböző méretű vezetékekhez, és precíz vágást garantál minden egyes használatkor? A Pro'skit CP-080E kábelcsupaszoló a sokoldalú és megbízható eszköz, amely minden elektromos projektben nélkülözhetetlen. 
Ez a 172 mm hosszúságú fogó kábelcsupaszolásra lett tervezve, amely a 0,2 mm²-től 6 mm²-ig terjedő kábelekkel kompatibilis, így széles körű alkalmazást biztosít. A Pro'skit CP-080E nem csak csupaszol, hanem vág is, ami kétszeresen praktikussá teszi. A beállítható csupaszolási hossz lehetővé teszi, hogy pontosan szabályozza, mennyi vezetéket távolítson el, így biztosítva a munka precizitását és hatékonyságát minden egyes használatkor. Ez az egyszerűen állítható funkció különösen hasznos változatos projektjeinél, ahol különböző típusú és méretű vezetékekkel dolgozik.
A Pro'skit CP-080E kábelcsupaszoló ergonomikus kialakítása és könnyű kezelhetősége révén kényelmes használatot biztosít, még hosszabb ideig tartó munkavégzés esetén is. Tökéletes választás szakemberek és amatőrök számára egyaránt, akik egy megbízható, pontos és könnyen használható kábelcsupaszolót keresnek.
Ne engedje, hogy a nehézkes csupaszolás lassítsa projekteit! A Pro'skit CP-080E kábelcsupaszolóval egyszerűvé és gyorssá válik minden csupaszolási és vágási feladat.</t>
        </is>
      </c>
    </row>
    <row r="1816">
      <c r="A1816" s="3" t="inlineStr">
        <is>
          <t>1PK-037S</t>
        </is>
      </c>
      <c r="B1816" s="2" t="inlineStr">
        <is>
          <t>Pro'skit 1PK-037S oldalcsípőfogó, 110 mm, edzett vágóél, acél</t>
        </is>
      </c>
      <c r="C1816" s="1" t="n">
        <v>2890.0</v>
      </c>
      <c r="D1816" s="7" t="n">
        <f>HYPERLINK("https://www.somogyi.hu/product/pro-skit-1pk-037s-oldalcsipofogo-110-mm-edzett-vagoel-acel-1pk-037s-4454","https://www.somogyi.hu/product/pro-skit-1pk-037s-oldalcsipofogo-110-mm-edzett-vagoel-acel-1pk-037s-4454")</f>
        <v>0.0</v>
      </c>
      <c r="E1816" s="7" t="n">
        <f>HYPERLINK("https://www.somogyi.hu/data/img/product_main_images/small/04454.jpg","https://www.somogyi.hu/data/img/product_main_images/small/04454.jpg")</f>
        <v>0.0</v>
      </c>
      <c r="F1816" s="2" t="inlineStr">
        <is>
          <t>5998312739167</t>
        </is>
      </c>
      <c r="G1816" s="4" t="inlineStr">
        <is>
          <t>Egy kis méretű, mégis erőteljes oldalcsípőfogót keres, amely minden precíziós munkát könnyedén elvégez? A Pro'skit 1PK-037S oldalcsípőfogó a tökéletes eszköz minden olyan feladathoz, ahol a pontosság és a megbízhatóság kulcsfontosságú. 
Ez a 110 mm hosszúságú fogó magas minőségű acélból készült, ami garantálja a hosszú élettartamot és a kiemelkedő teljesítményt.
A keményített és edzett vágóéllel rendelkező Pro'skit 1PK-037S képes hatékonyan vágási feladatokat végezni, legyen szó vezetékek átvágásáról vagy csupaszolásáról. Az érdesített PVC markolatborítás biztosítja a fogó stabil és biztonságos tartását, még nedves vagy olajos kezekkel is, így növelve a munkavégzés pontosságát és biztonságát.
Ez az oldalcsípőfogó ideális választás elektronikai munkákhoz, finommechanikai javításokhoz vagy ékszerkészítéshez, ahol a kis méret és a precíz vágások nélkülözhetetlenek. Kompakt méretének köszönhetően könnyedén tárolható és magával vihető, így bárhol, bármikor kéznél van, amikor szükség van rá.
Ne engedje, hogy a kevésbé hatékony eszközök akadályozzák projektjeinek sikerét! Válassza a Pro'skit 1PK-037S oldalcsípőfogót, és élvezze a precíziós vágások és a tartós, megbízható teljesítmény előnyeit.</t>
        </is>
      </c>
    </row>
    <row r="1817">
      <c r="A1817" s="3" t="inlineStr">
        <is>
          <t>HT 109</t>
        </is>
      </c>
      <c r="B1817" s="2" t="inlineStr">
        <is>
          <t>Home HT 109 műszerész csípőfogó, 130mm, keményfém él</t>
        </is>
      </c>
      <c r="C1817" s="1" t="n">
        <v>2490.0</v>
      </c>
      <c r="D1817" s="7" t="n">
        <f>HYPERLINK("https://www.somogyi.hu/product/home-ht-109-muszeresz-csipofogo-130mm-kemenyfem-el-ht-109-1795","https://www.somogyi.hu/product/home-ht-109-muszeresz-csipofogo-130mm-kemenyfem-el-ht-109-1795")</f>
        <v>0.0</v>
      </c>
      <c r="E1817" s="7" t="n">
        <f>HYPERLINK("https://www.somogyi.hu/data/img/product_main_images/small/01795.jpg","https://www.somogyi.hu/data/img/product_main_images/small/01795.jpg")</f>
        <v>0.0</v>
      </c>
      <c r="F1817" s="2" t="inlineStr">
        <is>
          <t>5998312702635</t>
        </is>
      </c>
      <c r="G1817" s="4" t="inlineStr">
        <is>
          <t>Szüksége van egy kis méretű, de rendkívül erős és sokoldalú műszerész csípőfogóra, amely képes megküzdeni a legnehezebb feladatokkal is? A Home HT 109 műszerész csípőfogó az, amit keres. 
Mindössze 130 mm hosszúságú, keményfém éllel van felszerelve, ami lehetővé teszi a precíz vágást és csupaszolást mindenféle vezetékkel. Ez a kiváló minőségű csípőfogó rugós mechanizmussal rendelkezik, amely megkönnyíti a használatot és növeli a hatékonyságot a munkavégzés során. Az erős, de precíz vágóél ideális eszköz a szoros helyeken történő munkavégzéshez, legyen szó elektronikai javításról, hobbiról vagy bármilyen finommechanikai munkáról. A Home HT 109 műszerész csípőfogóval könnyedén megoldhatók a vágási és csupaszolási feladatok anélkül, hogy több különböző szerszámot kellene használni. A kompakt mérete miatt tökéletes társ lehet a munkapadon vagy a szerszámtáskában, mindig kéznél, amikor szükség van rá.
Bízza a precíziós munkát a Home HT 109 műszerész csípőfogóra, és élvezze a könnyű, de erőteljes vágást és csupaszolást, amelyet ez az eszköz nyújt.</t>
        </is>
      </c>
    </row>
    <row r="1818">
      <c r="A1818" s="3" t="inlineStr">
        <is>
          <t>6PK-230PA</t>
        </is>
      </c>
      <c r="B1818" s="2" t="inlineStr">
        <is>
          <t>Pro'skit 6PK-230PA préselő fogó, 230 mm, 5 féle mérethez, racsnis áttétel, 6 féle nyomaték</t>
        </is>
      </c>
      <c r="C1818" s="1" t="n">
        <v>17390.0</v>
      </c>
      <c r="D1818" s="7" t="n">
        <f>HYPERLINK("https://www.somogyi.hu/product/pro-skit-6pk-230pa-preselo-fogo-230-mm-5-fele-merethez-racsnis-attetel-6-fele-nyomatek-6pk-230pa-4463","https://www.somogyi.hu/product/pro-skit-6pk-230pa-preselo-fogo-230-mm-5-fele-merethez-racsnis-attetel-6-fele-nyomatek-6pk-230pa-4463")</f>
        <v>0.0</v>
      </c>
      <c r="E1818" s="7" t="n">
        <f>HYPERLINK("https://www.somogyi.hu/data/img/product_main_images/small/04463.jpg","https://www.somogyi.hu/data/img/product_main_images/small/04463.jpg")</f>
        <v>0.0</v>
      </c>
      <c r="F1818" s="2" t="inlineStr">
        <is>
          <t>5998312739259</t>
        </is>
      </c>
      <c r="G1818" s="4" t="inlineStr">
        <is>
          <t>Egy megbízható eszközt keres, amely könnyedén végzi el a koax csatlakozók préselését? A Pro'skit 6PK-230PA préselő fogó a tökéletes választás azok számára, akik precíz és professzionális megoldást keresnek a koax kábelek csatlakoztatásához. 
Ez a 230 mm hosszúságú fogó hatlapú préselést kínál, ami ideális a leggyakrabban használt koax csatlakozókhoz, beleértve az RG 55, RG 58, RG 59, RG 5 és RG 6 típusokat.
A fogó öt különböző méretre van optimalizálva (1,73 mm, 2,49 mm, 5,41 mm, 6,48 mm és 8,15 mm), így biztosítva, hogy minden szükséges koax csatlakozó típus megtalálható legyen a készletben. A racsnis áttétellel és automatikus reteszeléssel rendelkező kialakítás garantálja a folyamatos és megbízható működést, míg a hibás préselés esetén alkalmazható oldható retesz lehetővé teszi a gyors korrekciót anélkül, hogy károsítaná a csatlakozót vagy a kábelt. A 6-féle kiválasztható nyomatékbeállítás biztosítja, hogy a préselési erő mindig az adott feladathoz legyen igazítva, így elősegítve a hosszú távú, megbízható kapcsolatok létrehozását. 
A Pro'skit 6PK-230PA préselő fogóval a koax kábelek csatlakoztatása gyorsabbá, egyszerűbbé és pontosabbá válik. Ne hagyja, hogy a koax csatlakozók préselése fejfájást okozzon.</t>
        </is>
      </c>
    </row>
    <row r="1819">
      <c r="A1819" s="3" t="inlineStr">
        <is>
          <t>PA-101</t>
        </is>
      </c>
      <c r="B1819" s="2" t="inlineStr">
        <is>
          <t>Pro'skit PA -101 műszerész csípőfogó, 130 mm, keményfém él</t>
        </is>
      </c>
      <c r="C1819" s="1" t="n">
        <v>3690.0</v>
      </c>
      <c r="D1819" s="7" t="n">
        <f>HYPERLINK("https://www.somogyi.hu/product/pro-skit-pa-101-muszeresz-csipofogo-130-mm-kemenyfem-el-pa-101-11872","https://www.somogyi.hu/product/pro-skit-pa-101-muszeresz-csipofogo-130-mm-kemenyfem-el-pa-101-11872")</f>
        <v>0.0</v>
      </c>
      <c r="E1819" s="7" t="n">
        <f>HYPERLINK("https://www.somogyi.hu/data/img/product_main_images/small/11872.jpg","https://www.somogyi.hu/data/img/product_main_images/small/11872.jpg")</f>
        <v>0.0</v>
      </c>
      <c r="F1819" s="2" t="inlineStr">
        <is>
          <t>5999084900847</t>
        </is>
      </c>
      <c r="G1819" s="4" t="inlineStr">
        <is>
          <t>Van már olyan műszerész csípőfogója, amely kivételesen éles, tartós, és mégis kényelmesen használható? A Pro'skit PA-101 műszerész csípőfogó a válasz mindenki számára, aki precíz vágást igénylő munkát végez. 
Mindössze 130 mm hosszú, de a keményfém élek – amelyek 65 Mn acélból készültek HRC: 52° keménységgel – biztosítják a kiemelkedő tartósságot és vágási képességet.
A csúszásmentes markolat garantálja a stabil és biztonságos fogást minden körülmények között, legyen szó hosszú munkaidőről vagy a legfinomabb elektronikai szerelési feladatokról. A fogó tervezésekor a felhasználói kényelmet tartották szem előtt, hogy még a legnehezebb munkák is könnyedén és pontosan elvégezhetőek legyenek.
A Pro'skit PA-101 műszerész csípőfogó tökéletes eszköz elektronikai javításokhoz, finom mechanikai munkákhoz vagy bármilyen helyzethez, ahol a precíz vágás elengedhetetlen. Az éles, keményfém éllel és a kényelmes, csúszásmentes markolattal ez a csípőfogó nemcsak, hogy megkönnyíti a munkát, de hosszú távon is megbízható társ lesz.
Ne elégedjen meg kevesebbel, ha a precizitás a kulcs! Válassza a Pro'skit PA-101 műszerész csípőfogót, és tapasztalja meg a különbséget, amit egy minőségi, jól tervezett eszköz tehet.</t>
        </is>
      </c>
    </row>
    <row r="1820">
      <c r="A1820" s="3" t="inlineStr">
        <is>
          <t>TW 4-6</t>
        </is>
      </c>
      <c r="B1820" s="2" t="inlineStr">
        <is>
          <t>Home TW 4-6 préselőfogó, telefondugóhoz, 210 mm, 3 mérethez, 2 csupaszolási hossz, fém</t>
        </is>
      </c>
      <c r="C1820" s="1" t="n">
        <v>6390.0</v>
      </c>
      <c r="D1820" s="7" t="n">
        <f>HYPERLINK("https://www.somogyi.hu/product/home-tw-4-6-preselofogo-telefondugohoz-210-mm-3-merethez-2-csupaszolasi-hossz-fem-tw-4-6-10418","https://www.somogyi.hu/product/home-tw-4-6-preselofogo-telefondugohoz-210-mm-3-merethez-2-csupaszolasi-hossz-fem-tw-4-6-10418")</f>
        <v>0.0</v>
      </c>
      <c r="E1820" s="7" t="n">
        <f>HYPERLINK("https://www.somogyi.hu/data/img/product_main_images/small/10418.jpg","https://www.somogyi.hu/data/img/product_main_images/small/10418.jpg")</f>
        <v>0.0</v>
      </c>
      <c r="F1820" s="2" t="inlineStr">
        <is>
          <t>5998312789841</t>
        </is>
      </c>
      <c r="G1820" s="4" t="inlineStr">
        <is>
          <t>Van már olyan eszköze, amely egyszerre képes telefondugók vágására, csupaszolására és préselésére, miközben precíz és megbízható munkát garantál? A Home TW 4-6 préselőfogó kifejezetten a telekommunikációs feladatok igényeihez lett szabva. 
A 210 mm hosszúságú, strapabíró fém szerkezetű fogóval a 4/4, 6/6, és 8/8 csatlakozók préselése gyerekjátékká válik. Két különböző csupaszolási hossz (6/12 mm) biztosítja, hogy a vezetékek előkészítése mindig a lehető legpontosabb legyen, függetlenül attól, hogy milyen feladatot kell elvégezni. A vágási, csupaszolási és préselési funkciók ötvözése lehetővé teszi, hogy ezt az egyetlen eszközt használva kiválóan és hatékonyan végezhesse el a telekommunikációhoz kötődő munkálatokat.
A Home TW 4-6 kiemelkedik az oldható, automatikus reteszelési funkciójával is, amely megkönnyíti a munkát, és biztosítja a folyamatos, megszakítás nélküli munkavégzést. Ez a jellemző növeli a munka hatékonyságát, és csökkenti a fáradtságot hosszú használat során.
Ne hagyja, hogy a bonyolult telekommunikációs feladatok fejtörést okozzanak! A Home TW 4-6 préselőfogóval minden munkafázis gyorsan és pontosan elvégezhető.</t>
        </is>
      </c>
    </row>
    <row r="1821">
      <c r="A1821" s="3" t="inlineStr">
        <is>
          <t>1PK-036S</t>
        </is>
      </c>
      <c r="B1821" s="2" t="inlineStr">
        <is>
          <t>Pro'skit 1PK-036S hegyes csőrű fogó, 135 mm, edzett vágóél, acél</t>
        </is>
      </c>
      <c r="C1821" s="1" t="n">
        <v>2890.0</v>
      </c>
      <c r="D1821" s="7" t="n">
        <f>HYPERLINK("https://www.somogyi.hu/product/pro-skit-1pk-036s-hegyes-csoru-fogo-135-mm-edzett-vagoel-acel-1pk-036s-4455","https://www.somogyi.hu/product/pro-skit-1pk-036s-hegyes-csoru-fogo-135-mm-edzett-vagoel-acel-1pk-036s-4455")</f>
        <v>0.0</v>
      </c>
      <c r="E1821" s="7" t="n">
        <f>HYPERLINK("https://www.somogyi.hu/data/img/product_main_images/small/04455.jpg","https://www.somogyi.hu/data/img/product_main_images/small/04455.jpg")</f>
        <v>0.0</v>
      </c>
      <c r="F1821" s="2" t="inlineStr">
        <is>
          <t>5998312739174</t>
        </is>
      </c>
      <c r="G1821" s="4" t="inlineStr">
        <is>
          <t>Szüksége van egy sokoldalú eszközre, amely képes vágásra, csupaszolásra, szorításra és hajlításra egyaránt? A Pro'skit 1PK-036S hegyes csőrű fogó a tökéletes választás mindenféle precíziós munkához. 
Ez a 135 mm hosszúságú fogó kiváló minőségű acélból készült, biztosítva a tartósságot és az erőt minden alkalmazás során. A keményített és edzett vágóél garantálja, hogy a fogó éles és hatékony marad hosszú távon is, akár vágásról, akár vezeték csupaszolásról van szó. Az érdesített PVC markolatborítás nem csak kényelmes fogást biztosít, hanem megakadályozza a fogó kicsúszását a kézből munka közben, így növelve a munkavégzés biztonságát és pontosságát. A Pro'skit 1PK-036S hegyes csőrű fogó kialakítása ideális szűk helyeken végzett munkákhoz is, ahol a precizitás és a szoros hozzáférés kulcsfontosságú. Legyen szó elektronikai szerelésről, ékszerkészítésről vagy bármilyen finommechanikai feladatról, ez a fogó minden igényt kielégít.
Ne hagyja, hogy a kevésbé hatékony eszközök hátráltassák projektjeit! Válassza a Pro'skit 1PK-036S hegyes csőrű fogót, és tapasztalja meg a sokoldalúság, erő és precizitás tökéletes kombinációját.</t>
        </is>
      </c>
    </row>
    <row r="1822">
      <c r="A1822" s="3" t="inlineStr">
        <is>
          <t>6PK-501</t>
        </is>
      </c>
      <c r="B1822" s="2" t="inlineStr">
        <is>
          <t>Pro'skit 6PK-501 professzionális kábelcsupaszoló, 3,2 - 9 mm átmérőhöz, 112 mm, U és V alakú illeszték</t>
        </is>
      </c>
      <c r="C1822" s="1" t="n">
        <v>4790.0</v>
      </c>
      <c r="D1822" s="7" t="n">
        <f>HYPERLINK("https://www.somogyi.hu/product/pro-skit-6pk-501-professzionalis-kabelcsupaszolo-3-2-9-mm-atmerohoz-112-mm-u-es-v-alaku-illesztek-6pk-501-17514","https://www.somogyi.hu/product/pro-skit-6pk-501-professzionalis-kabelcsupaszolo-3-2-9-mm-atmerohoz-112-mm-u-es-v-alaku-illesztek-6pk-501-17514")</f>
        <v>0.0</v>
      </c>
      <c r="E1822" s="7" t="n">
        <f>HYPERLINK("https://www.somogyi.hu/data/img/product_main_images/small/17514.jpg","https://www.somogyi.hu/data/img/product_main_images/small/17514.jpg")</f>
        <v>0.0</v>
      </c>
      <c r="F1822" s="2" t="inlineStr">
        <is>
          <t>5999084955366</t>
        </is>
      </c>
      <c r="G1822" s="4" t="inlineStr">
        <is>
          <t>Egy univerzális eszközt keres, ami gyorsan és biztonságosan csupaszolja és vágja a különböző típusú kábeleket? A Pro'skit 6PK-501 professzionális kábelcsupaszoló minden, amire szüksége lehet. 
Ez a termék kiválóan alkalmazkodik 3,2-től 9 mm átmérőjű vezetékekhez, legyen szó koaxiális, telefonkábelről, egyszerű, többerű, lapos, kör vagy akár UTP/FTP/STP hálózati kábelekről.
A körbe forgatható dizájn lehetővé teszi a kábel gyors és egyszerű csupaszolását anélkül, hogy károsítaná a belső vezetékeket. Az átmérőbeállító csavar segítségével könnyedén beállíthatja a kívánt méretet, míg az U és V alakú kábel illesztékek biztosítják a különböző típusú kábelekhez való illeszkedést, maximális rugalmasságot nyújtva használat közben.
112 mm hosszúságával a Pro'skit 6PK-501 professzionális kábelcsupaszoló kompakt és könnyen kezelhető, ideális szerszám minden elektronikai és hálózati munkához. Akár szakember, akár amatőr, ez a kábelcsupaszoló tökéletes kiegészítője lehet szerszámkészletének.
Ne hagyja, hogy a bonyolult kábelcsupaszolás akadályozza munkáját. Válassza a Pro'skit 6PK-501 professzionális terméket, és élvezze a gyors, biztonságos és precíz munkát minden egyes használatkor.</t>
        </is>
      </c>
    </row>
    <row r="1823">
      <c r="A1823" s="3" t="inlineStr">
        <is>
          <t>8PK-CT005B</t>
        </is>
      </c>
      <c r="B1823" s="2" t="inlineStr">
        <is>
          <t>Pro'skit P8PK-CT005B érvéghüvely fogó, 6 préselési méret, 200 db hüvely, 145 mm hossz</t>
        </is>
      </c>
      <c r="C1823" s="1" t="n">
        <v>8890.0</v>
      </c>
      <c r="D1823" s="7" t="n">
        <f>HYPERLINK("https://www.somogyi.hu/product/pro-skit-p8pk-ct005b-erveghuvely-fogo-6-preselesi-meret-200-db-huvely-145-mm-hossz-8pk-ct005b-18290","https://www.somogyi.hu/product/pro-skit-p8pk-ct005b-erveghuvely-fogo-6-preselesi-meret-200-db-huvely-145-mm-hossz-8pk-ct005b-18290")</f>
        <v>0.0</v>
      </c>
      <c r="E1823" s="7" t="n">
        <f>HYPERLINK("https://www.somogyi.hu/data/img/product_main_images/small/18290.jpg","https://www.somogyi.hu/data/img/product_main_images/small/18290.jpg")</f>
        <v>0.0</v>
      </c>
      <c r="F1823" s="2" t="inlineStr">
        <is>
          <t>5999084963125</t>
        </is>
      </c>
      <c r="G1823" s="4" t="inlineStr">
        <is>
          <t>Azt kérdezi magától, hogyan teheti gyorsabbá és hatékonyabbá a kábelezést? A Pro'skit 8PK-CT005B érvéghüvely fogó a megoldás a professzionális és precíz érvéghüvely préselésre.
Ez a kiváló minőségű fogó hat különböző méretben képes préselni az érvéghüvelyeket, amelyek a 0,25 mm²-től egészen a 2,5 mm²-ig terjednek. A változatos méretválaszték lehetővé teszi, hogy széles körben használhassa a fogót a különböző vezeték típusokhoz. A fogó könnyű kezelhetőségét a 145 mm hosszúsága biztosítja, amely ideális méret a kényelmes és pontos munkavégzéshez.
A csomag tartalmaz továbbá 200 db érvéghüvelyt is, amelyek szintén különböző méretekben vannak, hogy minden igényt kielégítsenek. Ezek között megtalálható 40x0,25mm², 40x0,75mm², 40x1,0mm², 40x1,5mm² és 40x2,5mm² méretű érvéghüvelyek.
Válassza a Pro'skit 8PK-CT005B érvéghüvely fogót a professzionális és megbízható kábelezési munkákhoz. Ez az eszköz nemcsak hatékonyságot, hanem hosszú távú megbízhatóságot is biztosít. Rendelje meg most, és tegye egyszerűbbé a kábelezési feladatokat!</t>
        </is>
      </c>
    </row>
    <row r="1824">
      <c r="A1824" s="3" t="inlineStr">
        <is>
          <t>6PK-301H</t>
        </is>
      </c>
      <c r="B1824" s="2" t="inlineStr">
        <is>
          <t>Pro'skit 6PK-301H préselő fogó, 220 mm, 3 féle mérethez, racsnis áttétel, 6 féle nyomaték</t>
        </is>
      </c>
      <c r="C1824" s="1" t="n">
        <v>16190.0</v>
      </c>
      <c r="D1824" s="7" t="n">
        <f>HYPERLINK("https://www.somogyi.hu/product/pro-skit-6pk-301h-preselo-fogo-220-mm-3-fele-merethez-racsnis-attetel-6-fele-nyomatek-6pk-301h-4462","https://www.somogyi.hu/product/pro-skit-6pk-301h-preselo-fogo-220-mm-3-fele-merethez-racsnis-attetel-6-fele-nyomatek-6pk-301h-4462")</f>
        <v>0.0</v>
      </c>
      <c r="E1824" s="7" t="n">
        <f>HYPERLINK("https://www.somogyi.hu/data/img/product_main_images/small/04462.jpg","https://www.somogyi.hu/data/img/product_main_images/small/04462.jpg")</f>
        <v>0.0</v>
      </c>
      <c r="F1824" s="2" t="inlineStr">
        <is>
          <t>5998312739242</t>
        </is>
      </c>
      <c r="G1824" s="4" t="inlineStr">
        <is>
          <t>Az ideális eszközt keresi a szigetelt saruk pontos és megbízható préseléséhez? A Pro'skit 6PK-301H préselő fogóval búcsút mondhat a közelítő megoldásoknak és a bizonytalan kapcsolatoknak. 
Ez a 220 mm hosszúságú, erős és tartós fogó speciálisan a szigetelt saruk széles skálájának kezelésére lett tervezve, beleértve a piros (0,5-1,0 mm²), kék (1,5-2,5 mm²) és sárga (4-6 mm²) méretű sarukat. A racsnis áttétellel és automatikus reteszeléssel ellátott kialakítás biztosítja a folyamatos, sima működést, miközben a hibás préselés esetén alkalmazható oldható retesz lehetővé teszi a gyors korrekciót anélkül, hogy a munkafolyamat megszakadna. Ez a funkció különösen hasznos hosszú és fárasztó projektjeinél, ahol minden egyes préselés számít.
A 6-féle kiválasztható nyomatékbeállítás révén a Pro'skit 6PK-301H lehetővé teszi, hogy pontosan beállíthassa a szükséges erőt a különböző méretű és típusú sarukhoz, így garantálva a kapcsolatok megbízhatóságát és tartósságát. Akár elektromos berendezések szereléséről, járműjavításról vagy bármilyen otthoni projekt megvalósításáról van szó, ez a préselő fogó minden igényt kielégít.
Ne hagyja, hogy a kevésbé megbízható préselési technikák akadályozzák munkáját. Bízza a Pro'skit 6PK-301H préselő fogóra a szigetelt saruk kezelését, és élvezze a kényelmet, a pontosságot és a megbízható teljesítményt minden egyes használatkor.</t>
        </is>
      </c>
    </row>
    <row r="1825">
      <c r="A1825" s="3" t="inlineStr">
        <is>
          <t>8PK-371D</t>
        </is>
      </c>
      <c r="B1825" s="2" t="inlineStr">
        <is>
          <t>Pro'skit 8PK-371D kábelcsupaszoló és préselő fogó, 210 mm, több féle mérethez, rögzíthető csupaszolási hossz</t>
        </is>
      </c>
      <c r="C1825" s="1" t="n">
        <v>11790.0</v>
      </c>
      <c r="D1825" s="7" t="n">
        <f>HYPERLINK("https://www.somogyi.hu/product/pro-skit-8pk-371d-kabelcsupaszolo-es-preselo-fogo-210-mm-tobb-fele-merethez-rogzitheto-csupaszolasi-hossz-8pk-371d-4464","https://www.somogyi.hu/product/pro-skit-8pk-371d-kabelcsupaszolo-es-preselo-fogo-210-mm-tobb-fele-merethez-rogzitheto-csupaszolasi-hossz-8pk-371d-4464")</f>
        <v>0.0</v>
      </c>
      <c r="E1825" s="7" t="n">
        <f>HYPERLINK("https://www.somogyi.hu/data/img/product_main_images/small/04464.jpg","https://www.somogyi.hu/data/img/product_main_images/small/04464.jpg")</f>
        <v>0.0</v>
      </c>
      <c r="F1825" s="2" t="inlineStr">
        <is>
          <t>5998312739266</t>
        </is>
      </c>
      <c r="G1825" s="4" t="inlineStr">
        <is>
          <t>Van már olyan eszköze, amely egyszerre képes precízen csupaszolni, préselni és vágni, anélkül, hogy több különböző szerszámot kellene használnia? A Pro'skit 8PK-371D kábelcsupaszoló és préselő fogó pontosan ilyen sokoldalúságot kínál egyetlen, hatékony kialakításban. 
Ez a 210 mm hosszúságú fogó tökéletes választás mind a szigetelt, mind a szigeteletlen saruk 0,5 mm²-től 6 mm²-ig történő préselésére. A vezetékek elvágásától kezdve a gyors kábelcsupaszolásig, amely 0,2 mm²-től 6 mm²-ig terjedő kábelekkel is megbirkózik, ez a fogó minden elektromos munka nélkülözhetetlen társa. A rögzíthető csupaszolási hossz lehetővé teszi a pontos és ismételhető munkavégzést, míg az elfordítható és eltávolítható végállás-ütköző biztosítja a különböző típusú és méretű kábelekkel való munka egyszerűségét és rugalmasságát.
A Pro'skit 8PK-371D nemcsak azért kiemelkedő, mert egyszerre több funkciót is ellát, hanem mert mindezt a felhasználó kényelmét és a munkavégzés hatékonyságát szem előtt tartva teszi. Tökéletes választás elektromos szakemberek, műszaki hobbisták számára egyaránt.
Tegye munkafolyamatát egyszerűbbé és hatékonyabbá a Pro'skit 8PK-371D kábelcsupaszoló és préselő fogóval.</t>
        </is>
      </c>
    </row>
    <row r="1826">
      <c r="A1826" s="3" t="inlineStr">
        <is>
          <t>8PK-313B</t>
        </is>
      </c>
      <c r="B1826" s="2" t="inlineStr">
        <is>
          <t>Pro'skit 8PK-313B kábelcsupaszoló és préselő fogó, 230 mm, több féle mérethez, szigetelt és szigeteletlen sarukhoz</t>
        </is>
      </c>
      <c r="C1826" s="1" t="n">
        <v>5490.0</v>
      </c>
      <c r="D1826" s="7" t="n">
        <f>HYPERLINK("https://www.somogyi.hu/product/pro-skit-8pk-313b-kabelcsupaszolo-es-preselo-fogo-230-mm-tobb-fele-merethez-szigetelt-es-szigeteletlen-sarukhoz-8pk-313b-4465","https://www.somogyi.hu/product/pro-skit-8pk-313b-kabelcsupaszolo-es-preselo-fogo-230-mm-tobb-fele-merethez-szigetelt-es-szigeteletlen-sarukhoz-8pk-313b-4465")</f>
        <v>0.0</v>
      </c>
      <c r="E1826" s="7" t="n">
        <f>HYPERLINK("https://www.somogyi.hu/data/img/product_main_images/small/04465.jpg","https://www.somogyi.hu/data/img/product_main_images/small/04465.jpg")</f>
        <v>0.0</v>
      </c>
      <c r="F1826" s="2" t="inlineStr">
        <is>
          <t>5998312739273</t>
        </is>
      </c>
      <c r="G1826" s="4" t="inlineStr">
        <is>
          <t>A tökéletes eszközt keresi, ami egyesíti a kábelcsupaszolás, préselés és vágás funkcióit? A Pro'skit 8PK-313B kábelcsupaszoló és préselő fogó a sokoldalú megoldás minden elektromos munkára. 
Ez a 230 mm hosszúságú fogó lehetővé teszi mind a szigetelt, mind a szigeteletlen saruk könnyű préselését, a szigetelt saruk esetében piros színnel jelölve az 1 mm²-ig, kéken a 2,5 mm²-ig, sárgával pedig a 6 mm²-ig terjedő kábeleket, míg a szigeteletlen saruknál 1,5 mm²-től 6 mm²-ig használható.
A vezetékek elvágása mellett a készülék kábelcsupaszoló funkciója is rendkívül hatékony, 0,75 mm²-től 6 mm²-ig terjedő kábelek esetén, biztosítva a pontos és gyors munkavégzést. Továbbá, a csavarok rövidítésére is alkalmas, M2,6-tól M5-ig terjedő méretben, ami még több felhasználási lehetőséget nyújt.
A Pro'skit 8PK-313B ergonómikus tervezése és a kényelmes fogása révén hosszabb munkavégzés során is kényelmes használatot tesz lehetővé, miközben a beépített funkciók sokasága megkönnyíti a szakemberek és az amatőrök munkáját egyaránt.
Ne hagyja, hogy a munkavégzés hatékonysága az eszközök hiányosságai miatt csökkenjen! Válassza a Pro'skit 8PK-313B kábelcsupaszoló és préselő fogót, és élvezze a gyors, pontos és hatékony munkavégzést minden elektromos projektben.</t>
        </is>
      </c>
    </row>
    <row r="1827">
      <c r="A1827" s="3" t="inlineStr">
        <is>
          <t>TW 3-6</t>
        </is>
      </c>
      <c r="B1827" s="2" t="inlineStr">
        <is>
          <t>Home TW 3-6 préselő fogó, telefondugóhoz, 210 mm, 3 mérethez, 2 csupaszolási hossz, ABS műanyag</t>
        </is>
      </c>
      <c r="C1827" s="1" t="n">
        <v>4590.0</v>
      </c>
      <c r="D1827" s="7" t="n">
        <f>HYPERLINK("https://www.somogyi.hu/product/home-tw-3-6-preselo-fogo-telefondugohoz-210-mm-3-merethez-2-csupaszolasi-hossz-abs-muanyag-tw-3-6-4718","https://www.somogyi.hu/product/home-tw-3-6-preselo-fogo-telefondugohoz-210-mm-3-merethez-2-csupaszolasi-hossz-abs-muanyag-tw-3-6-4718")</f>
        <v>0.0</v>
      </c>
      <c r="E1827" s="7" t="n">
        <f>HYPERLINK("https://www.somogyi.hu/data/img/product_main_images/small/04718.jpg","https://www.somogyi.hu/data/img/product_main_images/small/04718.jpg")</f>
        <v>0.0</v>
      </c>
      <c r="F1827" s="2" t="inlineStr">
        <is>
          <t>5998312741634</t>
        </is>
      </c>
      <c r="G1827" s="4" t="inlineStr">
        <is>
          <t>Egy sokrétű megoldást keres a telefoncsatlakozók préseléséhez, vágásához és csupaszolásához? A Home TW 3-6 préselő fogó pontosan az, amire szüksége van. 
Ez a 210 mm hosszúságú, strapabíró ABS műanyagból készült eszköz kifejezetten a telefondugókhoz való munkálatok elvégzésére lett tervezve, így ideális választás otthoni és szakmai használatra egyaránt. A fogó kompatibilis a 4/4, 6/6 és 8/8 csatlakozókkal, így széles körű alkalmazást biztosít különböző típusú telekommunikációs projektekhez. Két különböző csupaszolási hossz (6/12 mm) áll rendelkezésre, amely lehetővé teszi a vezetékek méretének megfelelő pontos és gyors előkészítését. A széles vágóélekkel rendelkező Home TW 3-6 nem csak présel, hanem vág és csupaszol is, ami többfunkciós megoldást nyújt az összes telekommunikációs feladathoz. Ez a sokoldalúság időt és energiát takarít meg Önnek, mivel nem kell több különböző eszközt vinnie és váltogatnia a munka során.
Ne engedje, hogy a telekommunikációs feladatok kihívást jelentsenek! A Home TW 3-6 préselő fogóval egyszerűvé és hatékonnyá válik minden telefondugóval kapcsolatos munka.</t>
        </is>
      </c>
    </row>
    <row r="1828">
      <c r="A1828" s="3" t="inlineStr">
        <is>
          <t>CP-342</t>
        </is>
      </c>
      <c r="B1828" s="2" t="inlineStr">
        <is>
          <t>Pro'skit CP-342 UTP-RJ45-8P8C gyorskrimpelő fogó, nyitott végű dugókhoz, biztonsági zár, gyors</t>
        </is>
      </c>
      <c r="C1828" s="1" t="n">
        <v>23390.0</v>
      </c>
      <c r="D1828" s="7" t="n">
        <f>HYPERLINK("https://www.somogyi.hu/product/pro-skit-cp-342-utp-rj45-8p8c-gyorskrimpelo-fogo-nyitott-vegu-dugokhoz-biztonsagi-zar-gyors-cp-342-17877","https://www.somogyi.hu/product/pro-skit-cp-342-utp-rj45-8p8c-gyorskrimpelo-fogo-nyitott-vegu-dugokhoz-biztonsagi-zar-gyors-cp-342-17877")</f>
        <v>0.0</v>
      </c>
      <c r="E1828" s="7" t="n">
        <f>HYPERLINK("https://www.somogyi.hu/data/img/product_main_images/small/17877.jpg","https://www.somogyi.hu/data/img/product_main_images/small/17877.jpg")</f>
        <v>0.0</v>
      </c>
      <c r="F1828" s="2" t="inlineStr">
        <is>
          <t>5999084958992</t>
        </is>
      </c>
      <c r="G1828" s="4" t="inlineStr">
        <is>
          <t>Hogyan gyorsíthatja fel a kábelezési munkákat, miközben minimalizálja a hibalehetőségeket?
A Pro'sKit CP-342 UTP-RJ45-8P8C gyorskrimpelő fogó ideális választás azok számára, akik gyors és pontos csatlakozókészítést szeretnének elérni. Ez a professzionális kéziszerszám kifejezetten átmenő, nyitott végű dugókhoz készült, de a hagyományos RJ45 moduláris dugókkal is kompatibilis, így sokoldalúan használható hálózati kábelezési feladatok során.
Többfunkciós kialakítás a hatékony munkavégzésért
A Pro'sKit CP-342 fogó egyszerre csupaszol, krimpel és vág, így jelentősen csökkenti a szükséges lépések számát. A párhuzamosan működő funkcióknak köszönhetően a kábelezési munka gyorsabbá válik, miközben csökken a hibalehetőség, és javul a csatlakozások kontaktusminősége. Az eszköz precíziós, megerősített mozgó fejszerkezete biztosítja a pontos és megbízható krimpelést, így mindig kiváló eredményt érhet el.
Ergonomikus és praktikus használat
A fogó kompakt, 143 mm-es méretének köszönhetően könnyen kezelhető, akár szűkebb helyeken is kényelmesen használható. A csúszásmentes markolat biztos fogást nyújt, így hosszabb munkavégzés során is kényelmes marad a használata. A biztonsági zárral ellátott kialakítás megkönnyíti a tárolást, így a fogó mindig biztonságosan elrakható, amikor éppen nincs használatban.
Széles körű kompatibilitás
Ez a gyorskrimpelő fogó kompatibilis UTP kábelekkel és RJ45 - 8P8C moduláris dugókkal, beleértve az átmenő, nyitott végű dugókat is. Ez a sokoldalúság lehetővé teszi, hogy egyetlen szerszámmal többféle csatlakozótípuson is hatékonyan dolgozhasson.
Miért válassza a Pro'sKit CP-342 gyorskrimpelő fogót?
– Egyetlen eszközzel csupaszol, krimpel és vág 
– Kompatibilis átmenő, nyitott végű és hagyományos RJ45 dugókkal 
– Precíz, megerősített mozgó fej a pontos krimpeléshez 
– Csúszásmentes markolat és kompakt méret a kényelmes használat érdekében 
– Biztonsági zár a könnyű és biztonságos tárolásért
Ne hagyja, hogy az időigényes kábelezés hátráltassa munkáját! Válassza a Pro'sKit CP-342 gyorskrimpelő fogót, és élvezze a gyorsabb, hatékonyabb és hibamentesebb kábelezési élményt minden alkalommal!</t>
        </is>
      </c>
    </row>
    <row r="1829">
      <c r="A1829" s="6" t="inlineStr">
        <is>
          <t xml:space="preserve">   Mérés, szerszám, forrasztás / Csavarhúzó, szerszám, szerszámkészlet</t>
        </is>
      </c>
      <c r="B1829" s="6" t="inlineStr">
        <is>
          <t/>
        </is>
      </c>
      <c r="C1829" s="6" t="inlineStr">
        <is>
          <t/>
        </is>
      </c>
      <c r="D1829" s="6" t="inlineStr">
        <is>
          <t/>
        </is>
      </c>
      <c r="E1829" s="6" t="inlineStr">
        <is>
          <t/>
        </is>
      </c>
      <c r="F1829" s="6" t="inlineStr">
        <is>
          <t/>
        </is>
      </c>
      <c r="G1829" s="6" t="inlineStr">
        <is>
          <t/>
        </is>
      </c>
    </row>
    <row r="1830">
      <c r="A1830" s="3" t="inlineStr">
        <is>
          <t>HW-229B</t>
        </is>
      </c>
      <c r="B1830" s="2" t="inlineStr">
        <is>
          <t>Pro'skit HW-229B imbuszkulcskészlet, gömbfejű fél, króm-vandánium, 9 darabos</t>
        </is>
      </c>
      <c r="C1830" s="1" t="n">
        <v>4890.0</v>
      </c>
      <c r="D1830" s="7" t="n">
        <f>HYPERLINK("https://www.somogyi.hu/product/pro-skit-hw-229b-imbuszkulcskeszlet-gombfeju-fel-krom-vandanium-9-darabos-hw-229b-11878","https://www.somogyi.hu/product/pro-skit-hw-229b-imbuszkulcskeszlet-gombfeju-fel-krom-vandanium-9-darabos-hw-229b-11878")</f>
        <v>0.0</v>
      </c>
      <c r="E1830" s="7" t="n">
        <f>HYPERLINK("https://www.somogyi.hu/data/img/product_main_images/small/11878.jpg","https://www.somogyi.hu/data/img/product_main_images/small/11878.jpg")</f>
        <v>0.0</v>
      </c>
      <c r="F1830" s="2" t="inlineStr">
        <is>
          <t>5999084900908</t>
        </is>
      </c>
      <c r="G1830" s="4" t="inlineStr">
        <is>
          <t>A tökéletes imbuszkulcskészletet keresi hobbi vagy szakmai felhasználáshoz? A Pro'skit HW-229B imbuszkulcskészlet pont az, amire szüksége van. 
Ez a 9 darabos készlet minden méretet tartalmaz, amire csak szüksége lehet, az 1,5-ös mérettől egészen a 10-es méretig, így biztosítva, hogy mindig kéznél legyen a megfelelő eszköz.
A kulcsok egyik végén található gömbfej lehetővé teszi a felhasználó számára, hogy akár 25 fokos szögben is dolgozhasson, növelve ezzel a hozzáférési lehetőségeket szűk helyeken. A hosszú szárú kialakítás további nyomatékot biztosít, így még a legmakacsabb csavarokkal is könnyedén megbirkózhat.
Króm-vanádiumból készültek, rendkívül tartósak és ellenállóak, így hosszú távon is megbízható társai lesznek munkájában. A praktikus tartóban történő tárolás pedig biztosítja, hogy az eszközök rendezetten és könnyen hozzáférhetően maradjanak, miközben a munkahelyen vagy otthon van.
Akár szakmai, akár személyes projektekhez keresi a tökéletes imbuszkulcskészletet, a Pro'skit HW-229B minden igényt kielégít.</t>
        </is>
      </c>
    </row>
    <row r="1831">
      <c r="A1831" s="3" t="inlineStr">
        <is>
          <t>DE 418679</t>
        </is>
      </c>
      <c r="B1831" s="2" t="inlineStr">
        <is>
          <t>Home DE418679 szerszámkészlet, mágneses csavarhúzó, 20 bitfej, többféle szerszám, 24 darabos</t>
        </is>
      </c>
      <c r="C1831" s="1" t="n">
        <v>8290.0</v>
      </c>
      <c r="D1831" s="7" t="n">
        <f>HYPERLINK("https://www.somogyi.hu/product/home-de418679-szerszamkeszlet-magneses-csavarhuzo-20-bitfej-tobbfele-szerszam-24-darabos-de-418679-18164","https://www.somogyi.hu/product/home-de418679-szerszamkeszlet-magneses-csavarhuzo-20-bitfej-tobbfele-szerszam-24-darabos-de-418679-18164")</f>
        <v>0.0</v>
      </c>
      <c r="E1831" s="7" t="n">
        <f>HYPERLINK("https://www.somogyi.hu/data/img/product_main_images/small/18164.jpg","https://www.somogyi.hu/data/img/product_main_images/small/18164.jpg")</f>
        <v>0.0</v>
      </c>
      <c r="F1831" s="2" t="inlineStr">
        <is>
          <t>5999084961862</t>
        </is>
      </c>
      <c r="G1831" s="4" t="inlineStr">
        <is>
          <t>Gondolkodott már azon, hogy milyen jól jönne egy átfogó, praktikus szerszámkészlet a kisebb javításokhoz és szerelésekhez otthonában? A Home DE418679 szerszámkészlet egy kiváló választás mindazok számára, akik megbízható, jól áttekinthető és könnyen használható szerszámokat keresnek a háztartási munkákhoz. 
Ez a 24 darabos készlet minden szükséges eszközt tartalmaz, hogy gyorsan és precízen elvégezhesse a kisebb karbantartási feladatokat. A szett egyik fő eleme a mágneses csavarhúzó, amely 155 mm hosszú, és erős mágneses feje biztosítja, hogy a csavarokat könnyedén a helyükre illeszthesse. A hozzá tartozó 20 db bitfej négy különböző szabvány szerint készült, így sokféle csavarhoz használható, legyen szó lapos, kereszt, torx vagy hatszög fejű csavarokról. Ez a sokoldalúság lehetővé teszi, hogy bármilyen helyzetben megtalálja a megfelelő szerszámot.
A készlet tartalmaz egy 165 mm-es kombinált fogót, amely ideális a kábelek, drótok hajlításához és vágásához, valamint egy 160 mm-es karmos szeghúzó kalapácsot (8oz), amely nemcsak szögek beverésére, hanem eltávolítására is tökéletes. Az állítható csavarkulcs 150 mm hosszú és akár 20 mm-es nyitással rendelkezik, így könnyedén használható különböző méretű csavarokhoz és anyákhoz. Mindezeket a szerszámokat egy praktikus, masszív műanyag tárolódoboz tartja rendben, amely átlátható és kompakt módon szervezi a szerszámokat. A doboz mérete 280 x 45 x 185 mm, így könnyen tárolható szinte bárhol, és a 1,2 kg-os súlya miatt könnyen hordozható is, ha szükséges.
Ne pazarolja az idejét különböző szerszámok keresésére, ha egy kompakt és praktikus megoldást is választhat! A Home DE418679 szerszámkészlet minden otthoni szereléshez ideális, és garantálja, hogy mindig kéznél legyenek a szükséges eszközök.</t>
        </is>
      </c>
    </row>
    <row r="1832">
      <c r="A1832" s="3" t="inlineStr">
        <is>
          <t>CSH 1</t>
        </is>
      </c>
      <c r="B1832" s="2" t="inlineStr">
        <is>
          <t>Home CSH 1 műszerész csavarhúzókészlet, forgó tenyérvédő, 6 darabos</t>
        </is>
      </c>
      <c r="C1832" s="1" t="n">
        <v>1090.0</v>
      </c>
      <c r="D1832" s="7" t="n">
        <f>HYPERLINK("https://www.somogyi.hu/product/home-csh-1-muszeresz-csavarhuzokeszlet-forgo-tenyervedo-6-darabos-csh-1-2060","https://www.somogyi.hu/product/home-csh-1-muszeresz-csavarhuzokeszlet-forgo-tenyervedo-6-darabos-csh-1-2060")</f>
        <v>0.0</v>
      </c>
      <c r="E1832" s="7" t="n">
        <f>HYPERLINK("https://www.somogyi.hu/data/img/product_main_images/small/02060.jpg","https://www.somogyi.hu/data/img/product_main_images/small/02060.jpg")</f>
        <v>0.0</v>
      </c>
      <c r="F1832" s="2" t="inlineStr">
        <is>
          <t>5998312722879</t>
        </is>
      </c>
      <c r="G1832" s="4" t="inlineStr">
        <is>
          <t>Biztos benne, hogy rendelkezik minden szükséges eszközzel precíz és műszerészeti munkákhoz? A Home CSH 1 műszerész csavarhúzókészlet minden olyan finommechanikai feladathoz ideális, ahol a precizitás és az ergonómia elengedhetetlen. 
A készlet tartalmaz 6 különböző méretű, magas minőségű fém csavarhúzót, amelyek kifejezetten a kisméretű és pontos munkákhoz lettek tervezve. A csavarhúzók forgó tenyérvédő kupakkal vannak ellátva, amelyek lehetővé teszik a gyors és hatékony munkavégzést, valamint a csavarok könnyed kontroll alatt tartását. A készletben található lapos (1,4; 2; 2,4; 3) és Phillips (PH0, PH1) fejű változatok, amelyek megfelelnek a legtöbb általános és speciális feladatnak.
A Home CSH 1 műszerész csavarhúzókészlet ideális választás otthoni és professzionális felhasználásra egyaránt, legyen szó elektronikáról, órajavításról vagy más finom mechanikai munkáról.</t>
        </is>
      </c>
    </row>
    <row r="1833">
      <c r="A1833" s="3" t="inlineStr">
        <is>
          <t>8PK-8100</t>
        </is>
      </c>
      <c r="B1833" s="2" t="inlineStr">
        <is>
          <t>Pro'skit 8PK-8100 szigetelt csavarhúzókészlet, max 1000 V~, króm-vandánium, mágnesezett fejek, 7 darabos</t>
        </is>
      </c>
      <c r="C1833" s="1" t="n">
        <v>9290.0</v>
      </c>
      <c r="D1833" s="7" t="n">
        <f>HYPERLINK("https://www.somogyi.hu/product/pro-skit-8pk-8100-szigetelt-csavarhuzokeszlet-max-1000-v-krom-vandanium-magnesezett-fejek-7-darabos-8pk-8100-4488","https://www.somogyi.hu/product/pro-skit-8pk-8100-szigetelt-csavarhuzokeszlet-max-1000-v-krom-vandanium-magnesezett-fejek-7-darabos-8pk-8100-4488")</f>
        <v>0.0</v>
      </c>
      <c r="E1833" s="7" t="n">
        <f>HYPERLINK("https://www.somogyi.hu/data/img/product_main_images/small/04488.jpg","https://www.somogyi.hu/data/img/product_main_images/small/04488.jpg")</f>
        <v>0.0</v>
      </c>
      <c r="F1833" s="2" t="inlineStr">
        <is>
          <t>5998312739501</t>
        </is>
      </c>
      <c r="G1833" s="4" t="inlineStr">
        <is>
          <t>Milyen csavarhúzó készlettel biztosíthatja az otthoni és szakipari munkák biztonságát és hatékonyságát? A Pro'skit 8PK-8100 szigetelt csavarhúzókészletet kifejezetten azok számára tervezték, akik maximális védelmet igényelnek elektromos munkák során. 
Ez a 7 darabos készlet kiemelkedő biztonságot nyújt akár 1000 V~ feszültségig, így minden szakember és hobbibarkácsoló számára ideális választás.
A készlet tartalmazza azokat a króm-vanádium acélból készült csavarhúzókat, amelyek nemcsak strapabírók, de az erősen felmágnesezett fejeknek köszönhetően rendkívül praktikusak is. Ezek a fejek megkönnyítik a munkát, mert a csavarokat könnyedén tartják meg, ami különösen hasznos szűk helyeken vagy nehezen hozzáférhető területeken.
A Pro'skit 8PK-8100 csavarhúzókészletet a megbízhatóság és a tartósság jellemzi. Válassza ezt a készletet, hogy minden elektromos munkáját biztonságosan és pontosan végezhesse el.</t>
        </is>
      </c>
    </row>
    <row r="1834">
      <c r="A1834" s="6" t="inlineStr">
        <is>
          <t xml:space="preserve">   Mérés, szerszám, forrasztás / Nagyító, paneltartó</t>
        </is>
      </c>
      <c r="B1834" s="6" t="inlineStr">
        <is>
          <t/>
        </is>
      </c>
      <c r="C1834" s="6" t="inlineStr">
        <is>
          <t/>
        </is>
      </c>
      <c r="D1834" s="6" t="inlineStr">
        <is>
          <t/>
        </is>
      </c>
      <c r="E1834" s="6" t="inlineStr">
        <is>
          <t/>
        </is>
      </c>
      <c r="F1834" s="6" t="inlineStr">
        <is>
          <t/>
        </is>
      </c>
      <c r="G1834" s="6" t="inlineStr">
        <is>
          <t/>
        </is>
      </c>
    </row>
    <row r="1835">
      <c r="A1835" s="3" t="inlineStr">
        <is>
          <t>MA-019</t>
        </is>
      </c>
      <c r="B1835" s="2" t="inlineStr">
        <is>
          <t>Pro'skit MA-019 kézi nagyító világítással, bankjegyvizsgáló, 56 mm átmérő, 3x nagyítás</t>
        </is>
      </c>
      <c r="C1835" s="1" t="n">
        <v>5990.0</v>
      </c>
      <c r="D1835" s="7" t="n">
        <f>HYPERLINK("https://www.somogyi.hu/product/pro-skit-ma-019-kezi-nagyito-vilagitassal-bankjegyvizsgalo-56-mm-atmero-3x-nagyitas-ma-019-11871","https://www.somogyi.hu/product/pro-skit-ma-019-kezi-nagyito-vilagitassal-bankjegyvizsgalo-56-mm-atmero-3x-nagyitas-ma-019-11871")</f>
        <v>0.0</v>
      </c>
      <c r="E1835" s="7" t="n">
        <f>HYPERLINK("https://www.somogyi.hu/data/img/product_main_images/small/11871.jpg","https://www.somogyi.hu/data/img/product_main_images/small/11871.jpg")</f>
        <v>0.0</v>
      </c>
      <c r="F1835" s="2" t="inlineStr">
        <is>
          <t>5999084900830</t>
        </is>
      </c>
      <c r="G1835" s="4" t="inlineStr">
        <is>
          <t>Gondolkodott már azon, hogy milyen lenne egy nagyító, ami nem csak erőteljes nagyítást kínál, de a rossz fényviszonyok között is tökéletesen használható? A Pro'skit MA-019 kézi nagyító világítással pontosan ilyen. 
Ez a készülék 8 db LED-del rendelkezik a fokozott világításért, valamint egy UV LED-del, ami bankjegyvizsgálóként is funkcionál, így egy sokoldalú eszközt nyújt a mindennapi használathoz és speciális alkalmazásokhoz egyaránt.
A minőségi üveglencse biztosítja a tiszta és torzításmentes képet, melynek átmérője ∅56 mm, így széles látómezőt kínál a felhasználónak. A 3x-os nagyítás (8 dioptria) tökéletes választás azok számára, akik részletekben gazdag és éles képre vágynak, legyen szó szöveg olvasásáról, hobbiról, vagy akár ékszerek és bankjegyek vizsgálatáról. A Pro'skit MA-019 kézi nagyító egy elektronikus kapcsolóval van ellátva, ami lehetővé teszi a világítás egyszerű kezelését, így a felhasználó könnyedén váltogathat a normál LED és az UV LED között, attól függően, hogy milyen típusú vizsgálatot végez. Az eszköz 3 x 1,5 V (AAA) elemmel működik, amelyek nem részei a csomagnak, így azokat külön kell beszerezni.
Ne hagyja, hogy a rossz fényviszonyok vagy a kis részletek nehezítsék a munkáját vagy a hobbiját!</t>
        </is>
      </c>
    </row>
    <row r="1836">
      <c r="A1836" s="3" t="inlineStr">
        <is>
          <t>MA-016</t>
        </is>
      </c>
      <c r="B1836" s="2" t="inlineStr">
        <is>
          <t>Pro'skit MA-016 világítós nagyító fejpánttal, alaplencse, lehajtható kettős lencse, elfordítható lencse, billenthető LED lámpa</t>
        </is>
      </c>
      <c r="C1836" s="1" t="n">
        <v>9590.0</v>
      </c>
      <c r="D1836" s="7" t="n">
        <f>HYPERLINK("https://www.somogyi.hu/product/pro-skit-ma-016-vilagitos-nagyito-fejpanttal-alaplencse-lehajthato-kettos-lencse-elfordithato-lencse-billentheto-led-lampa-ma-016-18442","https://www.somogyi.hu/product/pro-skit-ma-016-vilagitos-nagyito-fejpanttal-alaplencse-lehajthato-kettos-lencse-elfordithato-lencse-billentheto-led-lampa-ma-016-18442")</f>
        <v>0.0</v>
      </c>
      <c r="E1836" s="7" t="n">
        <f>HYPERLINK("https://www.somogyi.hu/data/img/product_main_images/small/18442.jpg","https://www.somogyi.hu/data/img/product_main_images/small/18442.jpg")</f>
        <v>0.0</v>
      </c>
      <c r="F1836" s="2" t="inlineStr">
        <is>
          <t>4710810394577</t>
        </is>
      </c>
      <c r="G1836" s="4" t="inlineStr">
        <is>
          <t>Egy megbízható nagyítót keres, amely nem csak pontos munkát biztosít, de kényelmesen használható hosszabb időn át is? A Home MA-016 világítós nagyító fejpánttal ideális választás minden olyan feladathoz, ahol részletek precíz megfigyelése és világítása szükséges. 
A lencsék kombinálásával háromféle nagyítás érhető el: x 1,8, x 2,6 és x 5,8, így könnyedén választhat az igényeknek megfelelő nagyítást. A karcolódás elleni bevonattal ellátott lencsék biztosítják a tiszta és tartós használatot. A fel-le és oldalirányba billenthető LED lámpa pontosan oda irányítja a fényt, ahol szüksége van rá, és ha kézi fényforrásra lenne szüksége, a LED lámpa könnyedén levehető. A fejpánt állítható, így bármilyen fejmérethez kényelmesen illeszkedik, a masszív, kézzel megszorítható fém beállítócsavarok pedig stabilitást garantálnak a használat során. A készülék 2 db AAA elemmel működik (nem tartozék), és mindössze 196 grammos súlyával könnyű és kényelmes viselet, így hosszabb munkavégzés során sem okoz kényelmetlenséget.
Válassza a Home MA-016 világítós nagyítót, és tapasztalja meg, hogyan könnyítheti meg a precíziós munkát ezzel a sokoldalú és kényelmes eszközzel!</t>
        </is>
      </c>
    </row>
    <row r="1837">
      <c r="A1837" s="6" t="inlineStr">
        <is>
          <t xml:space="preserve">   Mérés, szerszám, forrasztás / Csipesz</t>
        </is>
      </c>
      <c r="B1837" s="6" t="inlineStr">
        <is>
          <t/>
        </is>
      </c>
      <c r="C1837" s="6" t="inlineStr">
        <is>
          <t/>
        </is>
      </c>
      <c r="D1837" s="6" t="inlineStr">
        <is>
          <t/>
        </is>
      </c>
      <c r="E1837" s="6" t="inlineStr">
        <is>
          <t/>
        </is>
      </c>
      <c r="F1837" s="6" t="inlineStr">
        <is>
          <t/>
        </is>
      </c>
      <c r="G1837" s="6" t="inlineStr">
        <is>
          <t/>
        </is>
      </c>
    </row>
    <row r="1838">
      <c r="A1838" s="3" t="inlineStr">
        <is>
          <t>908-T301</t>
        </is>
      </c>
      <c r="B1838" s="2" t="inlineStr">
        <is>
          <t>Pro'skit 908-T301 műszerészcsipesz-pár, 150 mm, egyenes és 45'-ban hajlított, szigetelt bevonat</t>
        </is>
      </c>
      <c r="C1838" s="1" t="n">
        <v>1990.0</v>
      </c>
      <c r="D1838" s="7" t="n">
        <f>HYPERLINK("https://www.somogyi.hu/product/pro-skit-908-t301-muszereszcsipesz-par-150-mm-egyenes-es-45-ban-hajlitott-szigetelt-bevonat-908-t301-4757","https://www.somogyi.hu/product/pro-skit-908-t301-muszereszcsipesz-par-150-mm-egyenes-es-45-ban-hajlitott-szigetelt-bevonat-908-t301-4757")</f>
        <v>0.0</v>
      </c>
      <c r="E1838" s="7" t="n">
        <f>HYPERLINK("https://www.somogyi.hu/data/img/product_main_images/small/04757.jpg","https://www.somogyi.hu/data/img/product_main_images/small/04757.jpg")</f>
        <v>0.0</v>
      </c>
      <c r="F1838" s="2" t="inlineStr">
        <is>
          <t>5998312742006</t>
        </is>
      </c>
      <c r="G1838" s="4" t="inlineStr">
        <is>
          <t>Van már eszköze, amellyel a legapróbb alkatrészeket is precízen megfoghatja? A Pro'skit 908-T301 műszerészcsipesz-pár minden finommechanikai és elektronikai munkához elengedhetetlen.
Ezek a 150 mm hosszú csipeszek egyenes és 45°-ban hajlított végkialakítással rendelkeznek, így tökéletesen alkalmazkodnak minden szituációhoz, legyen szükség közvetlen megfogásra vagy szűk helyeken való munkára.
A recés fogófelület biztosítja a csúszásmentes fogást még a legkisebb és legfinomabb alkatrészek esetében is, megkönnyítve a precíz pozicionálást és tartást. A szigetelő bevonat nemcsak megvédi a kezét, hanem növeli az eszközök biztonságát is elektromos munkák során, csökkentve az áramütés kockázatát.
A Pro'skit 908-T301 műszerészcsipesz-pár kiváló választás minden szakember számára, aki az elektronikai javítások, modellezés vagy finommechanikai munkák területén dolgozik.</t>
        </is>
      </c>
    </row>
    <row r="1839">
      <c r="A1839" s="6" t="inlineStr">
        <is>
          <t xml:space="preserve">   Mérés, szerszám, forrasztás / Kábelkötegelő, kábelbilincs</t>
        </is>
      </c>
      <c r="B1839" s="6" t="inlineStr">
        <is>
          <t/>
        </is>
      </c>
      <c r="C1839" s="6" t="inlineStr">
        <is>
          <t/>
        </is>
      </c>
      <c r="D1839" s="6" t="inlineStr">
        <is>
          <t/>
        </is>
      </c>
      <c r="E1839" s="6" t="inlineStr">
        <is>
          <t/>
        </is>
      </c>
      <c r="F1839" s="6" t="inlineStr">
        <is>
          <t/>
        </is>
      </c>
      <c r="G1839" s="6" t="inlineStr">
        <is>
          <t/>
        </is>
      </c>
    </row>
    <row r="1840">
      <c r="A1840" s="3" t="inlineStr">
        <is>
          <t>CT 150/3,5/B</t>
        </is>
      </c>
      <c r="B1840" s="2" t="inlineStr">
        <is>
          <t>Home CT 150/3,5/B kábelkötegelő, 3,5 mm széles, 150 mm hosszú, 50 db, fekete</t>
        </is>
      </c>
      <c r="C1840" s="1" t="n">
        <v>649.0</v>
      </c>
      <c r="D1840" s="7" t="n">
        <f>HYPERLINK("https://www.somogyi.hu/product/home-ct-150-3-5-b-kabelkotegelo-3-5-mm-szeles-150-mm-hosszu-50-db-fekete-ct-150-3-5-b-13094","https://www.somogyi.hu/product/home-ct-150-3-5-b-kabelkotegelo-3-5-mm-szeles-150-mm-hosszu-50-db-fekete-ct-150-3-5-b-13094")</f>
        <v>0.0</v>
      </c>
      <c r="E1840" s="7" t="n">
        <f>HYPERLINK("https://www.somogyi.hu/data/img/product_main_images/small/13094.jpg","https://www.somogyi.hu/data/img/product_main_images/small/13094.jpg")</f>
        <v>0.0</v>
      </c>
      <c r="F1840" s="2" t="inlineStr">
        <is>
          <t>5999084912758</t>
        </is>
      </c>
      <c r="G1840" s="4" t="inlineStr">
        <is>
          <t>A CT kábelkötegelő transzparent és fekete színben kapható. Előnye, hogy nem oldható valamint ellenáll a savaknak, lúgoknak, UV sugárzásnak. Ráadásul nem öregszik, ennek köszönhetően kültéri használatra is bátran ajánlott. Alkalmazható: -35 - 85°C-ig.
A CT 150/3,5B fekete színű kábelkötegelő, 150 m hosszúságban, 3,5 m szélességben, valamint 50 db/csomagban kapható. Válassza a minőségi termékeket és rendeljen webáruházunkból.</t>
        </is>
      </c>
    </row>
    <row r="1841">
      <c r="A1841" s="3" t="inlineStr">
        <is>
          <t>CT 300/4,8</t>
        </is>
      </c>
      <c r="B1841" s="2" t="inlineStr">
        <is>
          <t>Home CT 300/4,8 kábelkötegelő, 4,8 mm széles, 300 mm hosszú, 25 db, átlátszó</t>
        </is>
      </c>
      <c r="C1841" s="1" t="n">
        <v>859.0</v>
      </c>
      <c r="D1841" s="7" t="n">
        <f>HYPERLINK("https://www.somogyi.hu/product/home-ct-300-4-8-kabelkotegelo-4-8-mm-szeles-300-mm-hosszu-25-db-atlatszo-ct-300-4-8-13089","https://www.somogyi.hu/product/home-ct-300-4-8-kabelkotegelo-4-8-mm-szeles-300-mm-hosszu-25-db-atlatszo-ct-300-4-8-13089")</f>
        <v>0.0</v>
      </c>
      <c r="E1841" s="7" t="n">
        <f>HYPERLINK("https://www.somogyi.hu/data/img/product_main_images/small/13089.jpg","https://www.somogyi.hu/data/img/product_main_images/small/13089.jpg")</f>
        <v>0.0</v>
      </c>
      <c r="F1841" s="2" t="inlineStr">
        <is>
          <t>5999084912703</t>
        </is>
      </c>
      <c r="G1841" s="4" t="inlineStr">
        <is>
          <t>A CT kábelkötegelő transzparent és fekete színben kapható. Előnye, hogy nem oldható valamint ellenáll a savaknak, lúgoknak, UV sugárzásnak. Ráadásul nem öregszik, ennek köszönhetően kültéri használatra is bátran ajánlott. Alkalmazható: -35 - 85°C-ig.
A CT 300/4,8 transzparent színű kábelkötegelő, 300 mm hosszúságban, 4,8 mm szélességben, valamint 25 db/csomagban kapható. Válassza a minőségi termékeket és rendeljen webáruházunkból.</t>
        </is>
      </c>
    </row>
    <row r="1842">
      <c r="A1842" s="3" t="inlineStr">
        <is>
          <t>CT 200/3,5/B</t>
        </is>
      </c>
      <c r="B1842" s="2" t="inlineStr">
        <is>
          <t>Home CT 200/3,5/B kábelkötegelő, 3,5 mm széles, 200 mm hosszú, 50 db, fekete</t>
        </is>
      </c>
      <c r="C1842" s="1" t="n">
        <v>809.0</v>
      </c>
      <c r="D1842" s="7" t="n">
        <f>HYPERLINK("https://www.somogyi.hu/product/home-ct-200-3-5-b-kabelkotegelo-3-5-mm-szeles-200-mm-hosszu-50-db-fekete-ct-200-3-5-b-13095","https://www.somogyi.hu/product/home-ct-200-3-5-b-kabelkotegelo-3-5-mm-szeles-200-mm-hosszu-50-db-fekete-ct-200-3-5-b-13095")</f>
        <v>0.0</v>
      </c>
      <c r="E1842" s="7" t="n">
        <f>HYPERLINK("https://www.somogyi.hu/data/img/product_main_images/small/13095.jpg","https://www.somogyi.hu/data/img/product_main_images/small/13095.jpg")</f>
        <v>0.0</v>
      </c>
      <c r="F1842" s="2" t="inlineStr">
        <is>
          <t>5999084912765</t>
        </is>
      </c>
      <c r="G1842" s="4" t="inlineStr">
        <is>
          <t>A CT kábelkötegelő transzparent és fekete színben kapható. Előnye, hogy nem oldható valamint ellenáll a savaknak, lúgoknak, UV sugárzásnak. Ráadásul nem öregszik, ennek köszönhetően kültéri használatra is bátran ajánlott. Alkalmazható: -35 - 85°C-ig.
A CT 200/3,5/B fekete színű kábelkötegelő, 200 mm hosszúságban, 3,5 mm szélességben, valamint 50 db/csomagban kapható. Válassza a minőségi termékeket és rendeljen webáruházunkból.</t>
        </is>
      </c>
    </row>
    <row r="1843">
      <c r="A1843" s="3" t="inlineStr">
        <is>
          <t>CT 200/3,5</t>
        </is>
      </c>
      <c r="B1843" s="2" t="inlineStr">
        <is>
          <t>Home CT 200/3,5 kábelkötegelő, 3,5 mm széles, 200 mm hosszú, 50 db, átlátszó</t>
        </is>
      </c>
      <c r="C1843" s="1" t="n">
        <v>809.0</v>
      </c>
      <c r="D1843" s="7" t="n">
        <f>HYPERLINK("https://www.somogyi.hu/product/home-ct-200-3-5-kabelkotegelo-3-5-mm-szeles-200-mm-hosszu-50-db-atlatszo-ct-200-3-5-13087","https://www.somogyi.hu/product/home-ct-200-3-5-kabelkotegelo-3-5-mm-szeles-200-mm-hosszu-50-db-atlatszo-ct-200-3-5-13087")</f>
        <v>0.0</v>
      </c>
      <c r="E1843" s="7" t="n">
        <f>HYPERLINK("https://www.somogyi.hu/data/img/product_main_images/small/13087.jpg","https://www.somogyi.hu/data/img/product_main_images/small/13087.jpg")</f>
        <v>0.0</v>
      </c>
      <c r="F1843" s="2" t="inlineStr">
        <is>
          <t>5999084912680</t>
        </is>
      </c>
      <c r="G1843" s="4" t="inlineStr">
        <is>
          <t>A CT kábelkötegelő transzparent és fekete színben kapható. Előnye, hogy nem oldható valamint ellenáll a savaknak, lúgoknak, UV sugárzásnak. Ráadásul nem öregszik, ennek köszönhetően kültéri használatra is bátran ajánlott. Alkalmazható: -35 - 85°C-ig.
A CT 200/3,5 transzparent színű kábelkötegelő, 200 mm hosszúságban, 3,5 mm szélességben, valamint 50 db/csomagban kapható. Válassza a minőségi termékeket és rendeljen webáruházunkból.</t>
        </is>
      </c>
    </row>
    <row r="1844">
      <c r="A1844" s="3" t="inlineStr">
        <is>
          <t>CHR 6</t>
        </is>
      </c>
      <c r="B1844" s="2" t="inlineStr">
        <is>
          <t>Home CHR 6 kábelbilincs szöggel, 6mm, 50 db, kerek vezetékhez</t>
        </is>
      </c>
      <c r="C1844" s="1" t="n">
        <v>429.0</v>
      </c>
      <c r="D1844" s="7" t="n">
        <f>HYPERLINK("https://www.somogyi.hu/product/home-chr-6-kabelbilincs-szoggel-6mm-50-db-kerek-vezetekhez-chr-6-4130","https://www.somogyi.hu/product/home-chr-6-kabelbilincs-szoggel-6mm-50-db-kerek-vezetekhez-chr-6-4130")</f>
        <v>0.0</v>
      </c>
      <c r="E1844" s="7" t="n">
        <f>HYPERLINK("https://www.somogyi.hu/data/img/product_main_images/small/04130.jpg","https://www.somogyi.hu/data/img/product_main_images/small/04130.jpg")</f>
        <v>0.0</v>
      </c>
      <c r="F1844" s="2" t="inlineStr">
        <is>
          <t>5998312736777</t>
        </is>
      </c>
      <c r="G1844" s="4" t="inlineStr">
        <is>
          <t>Fordítson kellő figyelmet a kábelek megfelelő rögzítésére! Ennek legideálisabb módja kábelbilincs használata! A CHR széria szöggel ellátott kábelbilincsei kifejezetten kerek vezetékekhez ajánlott. A 6 mm-es vezeték átmérővel rendelkező CHR 6 típus 50 db/ csomag kiszerelésben kapható. Válassza a minőségi termékeket és rendeljen webáruházunkból.</t>
        </is>
      </c>
    </row>
    <row r="1845">
      <c r="A1845" s="3" t="inlineStr">
        <is>
          <t>CT 300/4,8/B</t>
        </is>
      </c>
      <c r="B1845" s="2" t="inlineStr">
        <is>
          <t>Home CT 300/4,8/B kábelkötegelő, 4,8 mm széles, 300 mm hosszú, 25 db, fekete</t>
        </is>
      </c>
      <c r="C1845" s="1" t="n">
        <v>859.0</v>
      </c>
      <c r="D1845" s="7" t="n">
        <f>HYPERLINK("https://www.somogyi.hu/product/home-ct-300-4-8-b-kabelkotegelo-4-8-mm-szeles-300-mm-hosszu-25-db-fekete-ct-300-4-8-b-13098","https://www.somogyi.hu/product/home-ct-300-4-8-b-kabelkotegelo-4-8-mm-szeles-300-mm-hosszu-25-db-fekete-ct-300-4-8-b-13098")</f>
        <v>0.0</v>
      </c>
      <c r="E1845" s="7" t="n">
        <f>HYPERLINK("https://www.somogyi.hu/data/img/product_main_images/small/13098.jpg","https://www.somogyi.hu/data/img/product_main_images/small/13098.jpg")</f>
        <v>0.0</v>
      </c>
      <c r="F1845" s="2" t="inlineStr">
        <is>
          <t>5999084912796</t>
        </is>
      </c>
      <c r="G1845" s="4" t="inlineStr">
        <is>
          <t>A CT kábelkötegelő transzparent és fekete színben kapható. Előnye, hogy nem oldható valamint ellenáll a savaknak, lúgoknak, UV sugárzásnak. Ráadásul nem öregszik, ennek köszönhetően kültéri használatra is bátran ajánlott. Alkalmazható: -35 - 85°C-ig.
A CT 300/4,8/B fekete színű kábelkötegelő, 300 mm hosszúságban, 4,8 mm szélességben, valamint 25 db/csomagban kapható. Válassza a minőségi termékeket és rendeljen webáruházunkból.</t>
        </is>
      </c>
    </row>
    <row r="1846">
      <c r="A1846" s="3" t="inlineStr">
        <is>
          <t>CHR 7</t>
        </is>
      </c>
      <c r="B1846" s="2" t="inlineStr">
        <is>
          <t>Home CHR 7 kábelbilincs szöggel, 7mm, 50 db, kerek vezetékhez</t>
        </is>
      </c>
      <c r="C1846" s="1" t="n">
        <v>479.0</v>
      </c>
      <c r="D1846" s="7" t="n">
        <f>HYPERLINK("https://www.somogyi.hu/product/home-chr-7-kabelbilincs-szoggel-7mm-50-db-kerek-vezetekhez-chr-7-4131","https://www.somogyi.hu/product/home-chr-7-kabelbilincs-szoggel-7mm-50-db-kerek-vezetekhez-chr-7-4131")</f>
        <v>0.0</v>
      </c>
      <c r="E1846" s="7" t="n">
        <f>HYPERLINK("https://www.somogyi.hu/data/img/product_main_images/small/04131.jpg","https://www.somogyi.hu/data/img/product_main_images/small/04131.jpg")</f>
        <v>0.0</v>
      </c>
      <c r="F1846" s="2" t="inlineStr">
        <is>
          <t>5998312736784</t>
        </is>
      </c>
      <c r="G1846" s="4" t="inlineStr">
        <is>
          <t>Fordítson kellő figyelmet a kábelek megfelelő rögzítésére! Ennek legideálisabb módja kábelbilincs használata! A CHR széria szöggel ellátott kábelbilincsei kifejezetten kerek vezetékekhez ajánlott. A 7 mm-es vezeték átmérővel rendelkező CHR 7 típus 50 db/ csomag kiszerelésben kapható. Válassza a minőségi termékeket és rendeljen webáruházunkból.</t>
        </is>
      </c>
    </row>
    <row r="1847">
      <c r="A1847" s="3" t="inlineStr">
        <is>
          <t>CHR 5</t>
        </is>
      </c>
      <c r="B1847" s="2" t="inlineStr">
        <is>
          <t>Home CHR 5 kábelbilincs szöggel, 5mm, 50 db, kerek vezetékhez</t>
        </is>
      </c>
      <c r="C1847" s="1" t="n">
        <v>399.0</v>
      </c>
      <c r="D1847" s="7" t="n">
        <f>HYPERLINK("https://www.somogyi.hu/product/home-chr-5-kabelbilincs-szoggel-5mm-50-db-kerek-vezetekhez-chr-5-4129","https://www.somogyi.hu/product/home-chr-5-kabelbilincs-szoggel-5mm-50-db-kerek-vezetekhez-chr-5-4129")</f>
        <v>0.0</v>
      </c>
      <c r="E1847" s="7" t="n">
        <f>HYPERLINK("https://www.somogyi.hu/data/img/product_main_images/small/04129.jpg","https://www.somogyi.hu/data/img/product_main_images/small/04129.jpg")</f>
        <v>0.0</v>
      </c>
      <c r="F1847" s="2" t="inlineStr">
        <is>
          <t>5998312736760</t>
        </is>
      </c>
      <c r="G1847" s="4" t="inlineStr">
        <is>
          <t>Fordítson kellő figyelmet a kábelek megfelelő rögzítésére! Ennek legideálisabb módja kábelbilincs használata! A CHR széria szöggel ellátott kábelbilincsei kifejezetten kerek vezetékekhez ajánlott. Az 5 mm-es vezeték átmérővel rendelkező CHR 5 típus 50 db/ csomag kiszerelésben kapható. Válassza a minőségi termékeket és rendeljen webáruházunkból.</t>
        </is>
      </c>
    </row>
    <row r="1848">
      <c r="A1848" s="3" t="inlineStr">
        <is>
          <t>CT 400/4,8/B</t>
        </is>
      </c>
      <c r="B1848" s="2" t="inlineStr">
        <is>
          <t>Home CT 400/4,8/B kábelkötegelő, 4,8 mm széles, 400 mm hosszú, 25 db, fekete</t>
        </is>
      </c>
      <c r="C1848" s="1" t="n">
        <v>1190.0</v>
      </c>
      <c r="D1848" s="7" t="n">
        <f>HYPERLINK("https://www.somogyi.hu/product/home-ct-400-4-8-b-kabelkotegelo-4-8-mm-szeles-400-mm-hosszu-25-db-fekete-ct-400-4-8-b-13099","https://www.somogyi.hu/product/home-ct-400-4-8-b-kabelkotegelo-4-8-mm-szeles-400-mm-hosszu-25-db-fekete-ct-400-4-8-b-13099")</f>
        <v>0.0</v>
      </c>
      <c r="E1848" s="7" t="n">
        <f>HYPERLINK("https://www.somogyi.hu/data/img/product_main_images/small/13099.jpg","https://www.somogyi.hu/data/img/product_main_images/small/13099.jpg")</f>
        <v>0.0</v>
      </c>
      <c r="F1848" s="2" t="inlineStr">
        <is>
          <t>5999084912802</t>
        </is>
      </c>
      <c r="G1848" s="4" t="inlineStr">
        <is>
          <t>A CT kábelkötegelő transzparent és fekete színben kapható. Előnye, hogy nem oldható valamint ellenáll a savaknak, lúgoknak, UV sugárzásnak. Ráadásul nem öregszik, ennek köszönhetően kültéri használatra is bátran ajánlott. Alkalmazható: -35 - 85°C-ig.
A CT 400/4,8/B fekete színű kábelkötegelő, 400 mm hosszúságban, 4,8 mm szélességben, valamint 25 db/csomagban kapható. Válassza a minőségi termékeket és rendeljen webáruházunkból.</t>
        </is>
      </c>
    </row>
    <row r="1849">
      <c r="A1849" s="3" t="inlineStr">
        <is>
          <t>CT SET</t>
        </is>
      </c>
      <c r="B1849" s="2" t="inlineStr">
        <is>
          <t>Home CT SET kábelkötegelő szett, 4 szín, 4 méret, 1,9 x 100 mm, 2,0 x 150 mm, 2,5 x 200 mm, 3,6 x 250 mm, 100 db</t>
        </is>
      </c>
      <c r="C1849" s="1" t="n">
        <v>1250.0</v>
      </c>
      <c r="D1849" s="7" t="n">
        <f>HYPERLINK("https://www.somogyi.hu/product/home-ct-set-kabelkotegelo-szett-4-szin-4-meret-1-9-x-100-mm-2-0-x-150-mm-2-5-x-200-mm-3-6-x-250-mm-100-db-ct-set-15421","https://www.somogyi.hu/product/home-ct-set-kabelkotegelo-szett-4-szin-4-meret-1-9-x-100-mm-2-0-x-150-mm-2-5-x-200-mm-3-6-x-250-mm-100-db-ct-set-15421")</f>
        <v>0.0</v>
      </c>
      <c r="E1849" s="7" t="n">
        <f>HYPERLINK("https://www.somogyi.hu/data/img/product_main_images/small/15421.jpg","https://www.somogyi.hu/data/img/product_main_images/small/15421.jpg")</f>
        <v>0.0</v>
      </c>
      <c r="F1849" s="2" t="inlineStr">
        <is>
          <t>5999084934552</t>
        </is>
      </c>
      <c r="G1849" s="4" t="inlineStr">
        <is>
          <t>Hogyan biztosíthatja kábelei és vezetékei rendezett elhelyezését gyorsan és egyszerűen?
A Home CT SET kábelkötegelő szett tökéletes választás minden olyan felhasználó számára, aki tartós, megbízható és könnyen kezelhető megoldást keres a kábelek rendszerezésére. A szett négy különböző méretű és színű kötegelőt tartalmaz, így szinte bármilyen kábelkötegelési feladatra ideális, legyen szó otthoni, irodai vagy akár ipari használatról.
Sokoldalú felhasználhatóság – különböző méretek és színek
A Home CT SET kábelkötegelő szett 100 darab kábelkötegelőt tartalmaz, amelyek négy különböző méretben és színben érhetők el, hogy a különféle igényeknek mindig megfeleljen:
- 25 db piros kábelkötegelő – 3,6 x 250 mm: Ideális nagyobb kábelek, vastagabb vezetékek rendezésére.
- 25 db sárga kábelkötegelő – 2,5 x 200 mm: Közepes méretű kötegelő, amely jól használható számítástechnikai kábelekhez vagy kisebb vezetékekhez.
- 25 db zöld kábelkötegelő – 2,0 x 150 mm: Tökéletes kisebb csomagok vagy vékonyabb kábelek rögzítéséhez.
- 25 db fekete kábelkötegelő – 1,9 x 100 mm: Kifejezetten a vékonyabb vezetékek és finomabb szerelési munkák számára készült.
Tartós és biztonságos rögzítés
A kötegelők kiváló minőségű, ellenálló műanyagból készültek, amely biztosítja a tartós és megbízható rögzítést. A szoros fogás megakadályozza a kábelek elmozdulását, miközben megőrzi a kötegelők rugalmasságát. Az eltérő színeknek köszönhetően könnyedén megkülönböztetheti a különböző kábelcsoportokat, így egyszerűbbé válik a rendszerezés és az átláthatóság.
Egyszerű használat és gyors telepítés
A Home CT SET kábelkötegelők ergonomikus kialakítása lehetővé teszi a gyors és hatékony telepítést bármilyen környezetben. Akár otthoni eszközök, akár ipari vezetékek kötegeléséről van szó, ezek a kötegelők minden helyzetben megállják a helyüket.
Miért válassza a Home CT SET kábelkötegelő szettet?
– Négyféle méret és szín a különböző igényekhez 
– Tartós, kiváló minőségű anyag a megbízható rögzítésért 
– Kiválóan alkalmas otthoni, irodai és ipari használatra 
– Egyszerű használat és gyors telepítés 
– Segíti a kábelek rendszerezését és az átláthatóbb környezet kialakítását
Ne hagyja, hogy a kusza kábelek elrontsák a munkaterületet vagy a lakókörnyezetet! Rendelje meg most a Home CT SET kábelkötegelő szettet, és teremtsen rendezett, átlátható kábelhálózatot könnyedén!</t>
        </is>
      </c>
    </row>
    <row r="1850">
      <c r="A1850" s="3" t="inlineStr">
        <is>
          <t>CT 250/4,8</t>
        </is>
      </c>
      <c r="B1850" s="2" t="inlineStr">
        <is>
          <t>Home CT 250/4,8 kábelkötegelő, 4,8 mm széles, 250 mm hosszú, 25 db, átlátszó</t>
        </is>
      </c>
      <c r="C1850" s="1" t="n">
        <v>779.0</v>
      </c>
      <c r="D1850" s="7" t="n">
        <f>HYPERLINK("https://www.somogyi.hu/product/home-ct-250-4-8-kabelkotegelo-4-8-mm-szeles-250-mm-hosszu-25-db-atlatszo-ct-250-4-8-13088","https://www.somogyi.hu/product/home-ct-250-4-8-kabelkotegelo-4-8-mm-szeles-250-mm-hosszu-25-db-atlatszo-ct-250-4-8-13088")</f>
        <v>0.0</v>
      </c>
      <c r="E1850" s="7" t="n">
        <f>HYPERLINK("https://www.somogyi.hu/data/img/product_main_images/small/13088.jpg","https://www.somogyi.hu/data/img/product_main_images/small/13088.jpg")</f>
        <v>0.0</v>
      </c>
      <c r="F1850" s="2" t="inlineStr">
        <is>
          <t>5999084912697</t>
        </is>
      </c>
      <c r="G1850" s="4" t="inlineStr">
        <is>
          <t>A CT kábelkötegelő transzparent és fekete színben kapható. Előnye, hogy nem oldható valamint ellenáll a savaknak, lúgoknak UV, sugárzásnak. Ráadásul nem öregszik, ennek köszönhetően kültéri használatra is bátran ajánlott. Alkalmazható: -35 - 85°C-ig.
A CT 250/4,8 transzparent színű kábelkötegelő, 250 mm hosszúságban, 4,8 mm szélességben, valamint 25 db/csomagban kapható. Válassza a minőségi termékeket és rendeljen webáruházunkból.</t>
        </is>
      </c>
    </row>
    <row r="1851">
      <c r="A1851" s="3" t="inlineStr">
        <is>
          <t>CT 250/4,8/B</t>
        </is>
      </c>
      <c r="B1851" s="2" t="inlineStr">
        <is>
          <t>Home CT 250/4,8/B kábelkötegelő, 4,8 mm széles, 250 mm hosszú, 25 db, fekete</t>
        </is>
      </c>
      <c r="C1851" s="1" t="n">
        <v>779.0</v>
      </c>
      <c r="D1851" s="7" t="n">
        <f>HYPERLINK("https://www.somogyi.hu/product/home-ct-250-4-8-b-kabelkotegelo-4-8-mm-szeles-250-mm-hosszu-25-db-fekete-ct-250-4-8-b-13096","https://www.somogyi.hu/product/home-ct-250-4-8-b-kabelkotegelo-4-8-mm-szeles-250-mm-hosszu-25-db-fekete-ct-250-4-8-b-13096")</f>
        <v>0.0</v>
      </c>
      <c r="E1851" s="7" t="n">
        <f>HYPERLINK("https://www.somogyi.hu/data/img/product_main_images/small/13096.jpg","https://www.somogyi.hu/data/img/product_main_images/small/13096.jpg")</f>
        <v>0.0</v>
      </c>
      <c r="F1851" s="2" t="inlineStr">
        <is>
          <t>5999084912772</t>
        </is>
      </c>
      <c r="G1851" s="4" t="inlineStr">
        <is>
          <t>A CT kábelkötegelő transzparent és fekete színben kapható. Előnye, hogy nem oldható valamint ellenáll a savaknak, lúgoknak, UV sugárzásnak. Ráadásul nem öregszik, ennek köszönhetően kültéri használatra is bátran ajánlott. Alkalmazható: -35 - 85°C-ig.
A CT 250/4,8/B fekete színű kábelkötegelő, 250 mm hosszúságban, 4,8 mm szélességben, valamint 25 db/csomagban kapható. Válassza a minőségi termékeket és rendeljen webáruházunkból.</t>
        </is>
      </c>
    </row>
    <row r="1852">
      <c r="A1852" s="3" t="inlineStr">
        <is>
          <t>CT 100/2,5</t>
        </is>
      </c>
      <c r="B1852" s="2" t="inlineStr">
        <is>
          <t>Home CT 100/2,5 kábelkötegelő, 2,5 mm széles, 100 mm hosszú, 50 db, átlátszó</t>
        </is>
      </c>
      <c r="C1852" s="1" t="n">
        <v>329.0</v>
      </c>
      <c r="D1852" s="7" t="n">
        <f>HYPERLINK("https://www.somogyi.hu/product/home-ct-100-2-5-kabelkotegelo-2-5-mm-szeles-100-mm-hosszu-50-db-atlatszo-ct-100-2-5-13083","https://www.somogyi.hu/product/home-ct-100-2-5-kabelkotegelo-2-5-mm-szeles-100-mm-hosszu-50-db-atlatszo-ct-100-2-5-13083")</f>
        <v>0.0</v>
      </c>
      <c r="E1852" s="7" t="n">
        <f>HYPERLINK("https://www.somogyi.hu/data/img/product_main_images/small/13083.jpg","https://www.somogyi.hu/data/img/product_main_images/small/13083.jpg")</f>
        <v>0.0</v>
      </c>
      <c r="F1852" s="2" t="inlineStr">
        <is>
          <t>5999084912642</t>
        </is>
      </c>
      <c r="G1852" s="4" t="inlineStr">
        <is>
          <t>A CT kábelkötegelő transzparent és fekete színben kapható. Előnye, hogy nem oldható valamint ellenáll a savaknak, lúgoknak, UV sugárzásnak. Ráadásul nem öregszik, ennek köszönhetően kültéri használatra is bátran ajánlott. Alkalmazható: -35 - 85°C-ig.
A CT 100/2,5 transzparent színű kábelkötegelő, 100 mm hosszúságban, 2,5 mm szélességben, valamint 50 db/csomagban kapható.</t>
        </is>
      </c>
    </row>
    <row r="1853">
      <c r="A1853" s="3" t="inlineStr">
        <is>
          <t>CT 400/4,8</t>
        </is>
      </c>
      <c r="B1853" s="2" t="inlineStr">
        <is>
          <t>Home CT 400/4,8 kábelkötegelő, 4,8 mm széles, 400 mm hosszú, 25 db, átlátszó</t>
        </is>
      </c>
      <c r="C1853" s="1" t="n">
        <v>1190.0</v>
      </c>
      <c r="D1853" s="7" t="n">
        <f>HYPERLINK("https://www.somogyi.hu/product/home-ct-400-4-8-kabelkotegelo-4-8-mm-szeles-400-mm-hosszu-25-db-atlatszo-ct-400-4-8-13090","https://www.somogyi.hu/product/home-ct-400-4-8-kabelkotegelo-4-8-mm-szeles-400-mm-hosszu-25-db-atlatszo-ct-400-4-8-13090")</f>
        <v>0.0</v>
      </c>
      <c r="E1853" s="7" t="n">
        <f>HYPERLINK("https://www.somogyi.hu/data/img/product_main_images/small/13090.jpg","https://www.somogyi.hu/data/img/product_main_images/small/13090.jpg")</f>
        <v>0.0</v>
      </c>
      <c r="F1853" s="2" t="inlineStr">
        <is>
          <t>5999084912710</t>
        </is>
      </c>
      <c r="G1853" s="4" t="inlineStr">
        <is>
          <t>A CT kábelkötegelő transzparent és fekete színben kapható. Előnye, hogy nem oldható valamint ellenáll a savaknak, lúgoknak, UV sugárzásnak. Ráadásul nem öregszik, ennek köszönhetően kültéri használatra is bátran ajánlott. Alkalmazható: -35 - 85°C-ig.
A CT 400/4,8 transzparent színű kábelkötegelő, 400 mm hosszúságban, 4,8 mm szélességben, valamint 25 db/csomagban kapható. Válassza a minőségi termékeket és rendeljen webáruházunkból.</t>
        </is>
      </c>
    </row>
    <row r="1854">
      <c r="A1854" s="3" t="inlineStr">
        <is>
          <t>CTT 28BK</t>
        </is>
      </c>
      <c r="B1854" s="2" t="inlineStr">
        <is>
          <t>Home CTT 28BK kábelkötegelő talp, UV védett, 4 oldalas, öntapadó ragasztó, fúrható, fekete</t>
        </is>
      </c>
      <c r="C1854" s="1" t="n">
        <v>2090.0</v>
      </c>
      <c r="D1854" s="7" t="n">
        <f>HYPERLINK("https://www.somogyi.hu/product/home-ctt-28bk-kabelkotegelo-talp-uv-vedett-4-oldalas-ontapado-ragaszto-furhato-fekete-ctt-28bk-16634","https://www.somogyi.hu/product/home-ctt-28bk-kabelkotegelo-talp-uv-vedett-4-oldalas-ontapado-ragaszto-furhato-fekete-ctt-28bk-16634")</f>
        <v>0.0</v>
      </c>
      <c r="E1854" s="7" t="n">
        <f>HYPERLINK("https://www.somogyi.hu/data/img/product_main_images/small/16634.jpg","https://www.somogyi.hu/data/img/product_main_images/small/16634.jpg")</f>
        <v>0.0</v>
      </c>
      <c r="F1854" s="2" t="inlineStr">
        <is>
          <t>5999084946661</t>
        </is>
      </c>
      <c r="G1854" s="4" t="inlineStr">
        <is>
          <t>Hogyan rögzíthet kábeleket biztonságosan és tartósan bármilyen felületen?
A Home CTT 28BK kábelkötegelő talp praktikus és sokoldalú megoldást kínál a kábelek stabil rögzítésére különböző felületeken. Legyen szó beltéri vagy kültéri alkalmazásról, ez a kiváló minőségű kábelkötegelő talp megbízható segítséget nyújt a rendezett és biztonságos kábelvezetésben. Kialakítása révén számos felhasználási területen alkalmazható, így kiváló választás otthoni, irodai vagy ipari környezetben is.
Kiemelkedő tartósság és UV-védelem
A Home CTT 28BK kábelkötegelő talp UV védett anyagból készült, amely garantálja a hosszú élettartamot még kültéri használat esetén is. Az UV-védelemnek köszönhetően a talp ellenáll az időjárás viszontagságainak, így akár extrém körülmények között is stabil rögzítést biztosít.
Rugalmas és egyszerű rögzítési lehetőségek
Ez a kábelkötegelő talp négy oldalról fűzhető, ami lehetővé teszi a kábelek rögzítését különböző irányokból, így igazán sokoldalúan alkalmazható. A talp alsó részén található öntapadó ragasztó biztosítja a gyors és egyszerű felhelyezést bármilyen sima felületre, míg a felfúrható kialakítás további rögzítési lehetőséget kínál, ha tartósabb megoldásra van szüksége.
Minőségi alapanyag és megbízható kialakítás
A Home CTT 28BK talp Nylon66 alapanyagból készült, amely kiemelkedő szilárdságot és rugalmasságot nyújt. Az anyag ellenáll a mechanikai sérüléseknek, így biztos lehet benne, hogy a rögzített kábelek stabilak maradnak hosszú időn keresztül.
Miért érdemes a Home CTT 28BK kábelkötegelő talpat választani?
– UV-védelemmel ellátott, így kültéren is tartós megoldást nyújt 
– Négy oldalról fűzhető kialakítás a rugalmas rögzítésért 
– Öntapadó ragasztóval egyszerűen felhelyezhető bármilyen sima felületre 
– Fúrható rögzítési lehetőség a maximális stabilitásért 
– Kiváló minőségű Nylon66 alapanyagból készült, amely hosszú élettartamot biztosít
Ne hagyja, hogy a rendezetlen kábelek káoszt teremtsenek! Rendelje meg a Home CTT 28BK kábelkötegelő talpat, és teremtsen tiszta, biztonságos környezetet gyorsan és egyszerűen!</t>
        </is>
      </c>
    </row>
    <row r="1855">
      <c r="A1855" s="3" t="inlineStr">
        <is>
          <t>CT 100/2,5/B</t>
        </is>
      </c>
      <c r="B1855" s="2" t="inlineStr">
        <is>
          <t>Home CT 100/2,5/B kábelkötegelő, 2,5 mm széles, 100 mm hosszú, 50 db, fekete</t>
        </is>
      </c>
      <c r="C1855" s="1" t="n">
        <v>329.0</v>
      </c>
      <c r="D1855" s="7" t="n">
        <f>HYPERLINK("https://www.somogyi.hu/product/home-ct-100-2-5-b-kabelkotegelo-2-5-mm-szeles-100-mm-hosszu-50-db-fekete-ct-100-2-5-b-13092","https://www.somogyi.hu/product/home-ct-100-2-5-b-kabelkotegelo-2-5-mm-szeles-100-mm-hosszu-50-db-fekete-ct-100-2-5-b-13092")</f>
        <v>0.0</v>
      </c>
      <c r="E1855" s="7" t="n">
        <f>HYPERLINK("https://www.somogyi.hu/data/img/product_main_images/small/13092.jpg","https://www.somogyi.hu/data/img/product_main_images/small/13092.jpg")</f>
        <v>0.0</v>
      </c>
      <c r="F1855" s="2" t="inlineStr">
        <is>
          <t>5999084912734</t>
        </is>
      </c>
      <c r="G1855" s="4" t="inlineStr">
        <is>
          <t>A CT kábelkötegelő transzparent és fekete színben kapható. Előnye, hogy nem oldható valamint ellenáll a savaknak, lúgoknak, UV sugárzásnak. Ráadásul nem öregszik, ennek köszönhetően kültéri használatra is bátran ajánlott. Alkalmazható: -35 - 85°C-ig.
A CT 100/2,5/B fekete színű kábelkötegelő, 100 mm hosszúságban, 2,5 mm szélességben, valamint 50 db/csomagban kapható. Válassza a minőségi termékeket és rendeljen webáruházunkból.</t>
        </is>
      </c>
    </row>
    <row r="1856">
      <c r="A1856" s="3" t="inlineStr">
        <is>
          <t>CHR 8</t>
        </is>
      </c>
      <c r="B1856" s="2" t="inlineStr">
        <is>
          <t>Home CHR 8 kábelbilincs szöggel, 8mm, 50 db, kerek vezetékhez</t>
        </is>
      </c>
      <c r="C1856" s="1" t="n">
        <v>559.0</v>
      </c>
      <c r="D1856" s="7" t="n">
        <f>HYPERLINK("https://www.somogyi.hu/product/home-chr-8-kabelbilincs-szoggel-8mm-50-db-kerek-vezetekhez-chr-8-4143","https://www.somogyi.hu/product/home-chr-8-kabelbilincs-szoggel-8mm-50-db-kerek-vezetekhez-chr-8-4143")</f>
        <v>0.0</v>
      </c>
      <c r="E1856" s="7" t="n">
        <f>HYPERLINK("https://www.somogyi.hu/data/img/product_main_images/small/04143.jpg","https://www.somogyi.hu/data/img/product_main_images/small/04143.jpg")</f>
        <v>0.0</v>
      </c>
      <c r="F1856" s="2" t="inlineStr">
        <is>
          <t>5998312737088</t>
        </is>
      </c>
      <c r="G1856" s="4" t="inlineStr">
        <is>
          <t>Fordítson kellő figyelmet a kábelek megfelelő rögzítésére! Ennek legideálisabb módja kábelbilincs használata! A CHR széria szöggel ellátott kábelbilincsei kifejezetten kerek vezetékekhez ajánlott. A 8 mm-es vezeték átmérővel rendelkező CHR 8 típus 50 db/ csomag kiszerelésben kapható. Válassza a minőségi termékeket és rendeljen webáruházunkból.</t>
        </is>
      </c>
    </row>
    <row r="1857">
      <c r="A1857" s="3" t="inlineStr">
        <is>
          <t>CT 150/3,5</t>
        </is>
      </c>
      <c r="B1857" s="2" t="inlineStr">
        <is>
          <t>Home CT 150/3,5 kábelkötegelő, 3,5 mm széles, 150 mm hosszú, 50 db, átlátszó</t>
        </is>
      </c>
      <c r="C1857" s="1" t="n">
        <v>649.0</v>
      </c>
      <c r="D1857" s="7" t="n">
        <f>HYPERLINK("https://www.somogyi.hu/product/home-ct-150-3-5-kabelkotegelo-3-5-mm-szeles-150-mm-hosszu-50-db-atlatszo-ct-150-3-5-13086","https://www.somogyi.hu/product/home-ct-150-3-5-kabelkotegelo-3-5-mm-szeles-150-mm-hosszu-50-db-atlatszo-ct-150-3-5-13086")</f>
        <v>0.0</v>
      </c>
      <c r="E1857" s="7" t="n">
        <f>HYPERLINK("https://www.somogyi.hu/data/img/product_main_images/small/13086.jpg","https://www.somogyi.hu/data/img/product_main_images/small/13086.jpg")</f>
        <v>0.0</v>
      </c>
      <c r="F1857" s="2" t="inlineStr">
        <is>
          <t>5999084912673</t>
        </is>
      </c>
      <c r="G1857" s="4" t="inlineStr">
        <is>
          <t>A CT kábelkötegelő transzparent és fekete színben kapható. Előnye, hogy nem oldható valamint ellenáll a savaknak, lúgoknak, UV sugárzásnak. Ráadásul nem öregszik, ennek köszönhetően kültéri használatra is bátran ajánlott. Alkalmazható: -35 - 85°C-ig.
A CT 150/3,5 transzparent színű kábelkötegelő, 150 mm hosszúságban, 3,5 mm szélességben, valamint 50 db/csomagban kapható. Válassza a minőségi termékeket és rendeljen webáruházunkból.</t>
        </is>
      </c>
    </row>
    <row r="1858">
      <c r="A1858" s="6" t="inlineStr">
        <is>
          <t xml:space="preserve">   Mérés, szerszám, forrasztás / Zsugorcső</t>
        </is>
      </c>
      <c r="B1858" s="6" t="inlineStr">
        <is>
          <t/>
        </is>
      </c>
      <c r="C1858" s="6" t="inlineStr">
        <is>
          <t/>
        </is>
      </c>
      <c r="D1858" s="6" t="inlineStr">
        <is>
          <t/>
        </is>
      </c>
      <c r="E1858" s="6" t="inlineStr">
        <is>
          <t/>
        </is>
      </c>
      <c r="F1858" s="6" t="inlineStr">
        <is>
          <t/>
        </is>
      </c>
      <c r="G1858" s="6" t="inlineStr">
        <is>
          <t/>
        </is>
      </c>
    </row>
    <row r="1859">
      <c r="A1859" s="3" t="inlineStr">
        <is>
          <t>DRS 4-2/WH</t>
        </is>
      </c>
      <c r="B1859" s="2" t="inlineStr">
        <is>
          <t>Home DRS 4-2/WH zsugorcső, poliofelin, 4 mm, fehér</t>
        </is>
      </c>
      <c r="C1859" s="1" t="n">
        <v>459.0</v>
      </c>
      <c r="D1859" s="7" t="n">
        <f>HYPERLINK("https://www.somogyi.hu/product/home-drs-4-2-wh-zsugorcso-poliofelin-4-mm-feher-drs-4-2-wh-4969","https://www.somogyi.hu/product/home-drs-4-2-wh-zsugorcso-poliofelin-4-mm-feher-drs-4-2-wh-4969")</f>
        <v>0.0</v>
      </c>
      <c r="E1859" s="7" t="n">
        <f>HYPERLINK("https://www.somogyi.hu/data/img/product_main_images/small/04969.jpg","https://www.somogyi.hu/data/img/product_main_images/small/04969.jpg")</f>
        <v>0.0</v>
      </c>
      <c r="F1859" s="2" t="inlineStr">
        <is>
          <t>5998312743911</t>
        </is>
      </c>
      <c r="G1859" s="4" t="inlineStr">
        <is>
          <t>Önnek is fontos a kábelek és vezetékek biztonságos és tartós szigetelése? A Home DRS 4-2/WH fehér színű zsugorcső az ideális választás minden olyan helyzetre, ahol a szigetelés integritása és a kábelvédelem elsődleges szempont. 
Az eredeti 4 mm-es átmérő hő hatására 2 mm-re csökken, így tökéletesen illeszkedik a kábelekre, biztosítva a szükséges védelmet.
A Home DRS család színváltozatai – fehér, fekete, piros, kék – megkönnyítik a kábelkötegek azonosítását és szervezését. A zsugorodási hőmérséklet 125°C körüli, amely a -55°C-tól 125°C-ig terjedő széles használati tartományban garantálja a megbízhatóságot. A poliolefin alapanyag kiváló húzószilárdságot (≥ 12 Mpa) és szakítónyúlást (≥ 200 %) biztosít, valamint az UV-sugárzással szemben is ellenálló.
Emellett a Home DRS 4-2/WH zsugorcső hosszváltozása ≤ 5 %, ami rendkívül stabil alkalmazást tesz lehetővé. A szigetelési szilárdsága ≥ 20 kV/mm, tűzállósága pedig a VW-1 szabvány szerint biztosított. A kiszerelési méret 1 méter, amely lehetővé teszi, hogy csak a szükséges mennyiséget használja fel.
Válassza a Home DRS 4-2/WH zsugorcsövet a hatékony és tartós szigetelés érdekében.</t>
        </is>
      </c>
    </row>
    <row r="1860">
      <c r="A1860" s="3" t="inlineStr">
        <is>
          <t>DRS 2-1/BK</t>
        </is>
      </c>
      <c r="B1860" s="2" t="inlineStr">
        <is>
          <t>Home DRS 2-1/BK zsugorcső, poliofelin, 2 mm, fekete</t>
        </is>
      </c>
      <c r="C1860" s="1" t="n">
        <v>299.0</v>
      </c>
      <c r="D1860" s="7" t="n">
        <f>HYPERLINK("https://www.somogyi.hu/product/home-drs-2-1-bk-zsugorcso-poliofelin-2-mm-fekete-drs-2-1-bk-4965","https://www.somogyi.hu/product/home-drs-2-1-bk-zsugorcso-poliofelin-2-mm-fekete-drs-2-1-bk-4965")</f>
        <v>0.0</v>
      </c>
      <c r="E1860" s="7" t="n">
        <f>HYPERLINK("https://www.somogyi.hu/data/img/product_main_images/small/04965.jpg","https://www.somogyi.hu/data/img/product_main_images/small/04965.jpg")</f>
        <v>0.0</v>
      </c>
      <c r="F1860" s="2" t="inlineStr">
        <is>
          <t>5998312743874</t>
        </is>
      </c>
      <c r="G1860" s="4" t="inlineStr">
        <is>
          <t>Önnek is fontos a kábelek és vezetékek biztonságos és tartós szigetelése? A Home DRS 2-1/BK fekete színű zsugorcső az ideális választás minden olyan helyzetre, ahol a szigetelés integritása és a kábelvédelem elsődleges szempont. 
Az eredeti 2 mm-es átmérő hő hatására 1 mm-re csökken, így tökéletesen illeszkedik a kábelekre, biztosítva a szükséges védelmet.
A Home DRS család színváltozatai – fehér, fekete, piros, kék – megkönnyítik a kábelkötegek azonosítását és szervezését. A zsugorodási hőmérséklet 125°C körüli, amely a -55°C-tól 125°C-ig terjedő széles használati tartományban garantálja a megbízhatóságot. A poliolefin alapanyag kiváló húzószilárdságot (≥ 12 Mpa) és szakítónyúlást (≥ 200 %) biztosít, valamint az UV-sugárzással szemben is ellenálló.
Emellett a Home DRS 2-1/BK zsugorcső hosszváltozása ≤ 5 %, ami rendkívül stabil alkalmazást tesz lehetővé. A szigetelési szilárdsága ≥ 20 kV/mm, tűzállósága pedig a VW-1 szabvány szerint biztosított. A kiszerelési méret 1 méter, amely lehetővé teszi, hogy csak a szükséges mennyiséget használja fel.
Válassza a Home DRS 2-1/BK zsugorcsövet a hatékony és tartós szigetelés érdekében.</t>
        </is>
      </c>
    </row>
    <row r="1861">
      <c r="A1861" s="3" t="inlineStr">
        <is>
          <t>DRS 4-2/RD</t>
        </is>
      </c>
      <c r="B1861" s="2" t="inlineStr">
        <is>
          <t>Home DRS 4-2/RD zsugorcső, poliofelin, 4 mm, piros</t>
        </is>
      </c>
      <c r="C1861" s="1" t="n">
        <v>459.0</v>
      </c>
      <c r="D1861" s="7" t="n">
        <f>HYPERLINK("https://www.somogyi.hu/product/home-drs-4-2-rd-zsugorcso-poliofelin-4-mm-piros-drs-4-2-rd-4971","https://www.somogyi.hu/product/home-drs-4-2-rd-zsugorcso-poliofelin-4-mm-piros-drs-4-2-rd-4971")</f>
        <v>0.0</v>
      </c>
      <c r="E1861" s="7" t="n">
        <f>HYPERLINK("https://www.somogyi.hu/data/img/product_main_images/small/04971.jpg","https://www.somogyi.hu/data/img/product_main_images/small/04971.jpg")</f>
        <v>0.0</v>
      </c>
      <c r="F1861" s="2" t="inlineStr">
        <is>
          <t>5998312743935</t>
        </is>
      </c>
      <c r="G1861" s="4" t="inlineStr">
        <is>
          <t>Önnek is fontos a kábelek és vezetékek biztonságos és tartós szigetelése? A Home DRS 4-2/RD piros színű zsugorcső az ideális választás minden olyan helyzetre, ahol a szigetelés integritása és a kábelvédelem elsődleges szempont. 
Az eredeti 4 mm-es átmérő hő hatására 2 mm-re csökken, így tökéletesen illeszkedik a kábelekre, biztosítva a szükséges védelmet.
A Home DRS család színváltozatai – fehér, fekete, piros, kék – megkönnyítik a kábelkötegek azonosítását és szervezését. A zsugorodási hőmérséklet 125°C körüli, amely a -55°C-tól 125°C-ig terjedő széles használati tartományban garantálja a megbízhatóságot. A poliolefin alapanyag kiváló húzószilárdságot (≥ 12 Mpa) és szakítónyúlást (≥ 200 %) biztosít, valamint az UV-sugárzással szemben is ellenálló.
Emellett a Home DRS 4-2/RD zsugorcső hosszváltozása ≤ 5 %, ami rendkívül stabil alkalmazást tesz lehetővé. A szigetelési szilárdsága ≥ 20 kV/mm, tűzállósága pedig a VW-1 szabvány szerint biztosított. A kiszerelési méret 1 méter, amely lehetővé teszi, hogy csak a szükséges mennyiséget használja fel.
Válassza a Home DRS 4-2/RD zsugorcsövet a hatékony és tartós szigetelés érdekében.</t>
        </is>
      </c>
    </row>
    <row r="1862">
      <c r="A1862" s="3" t="inlineStr">
        <is>
          <t>DRS 4-2/BK</t>
        </is>
      </c>
      <c r="B1862" s="2" t="inlineStr">
        <is>
          <t>Home DRS 4-2/BK zsugorcső, poliofelin, 4 mm, fekete</t>
        </is>
      </c>
      <c r="C1862" s="1" t="n">
        <v>459.0</v>
      </c>
      <c r="D1862" s="7" t="n">
        <f>HYPERLINK("https://www.somogyi.hu/product/home-drs-4-2-bk-zsugorcso-poliofelin-4-mm-fekete-drs-4-2-bk-4973","https://www.somogyi.hu/product/home-drs-4-2-bk-zsugorcso-poliofelin-4-mm-fekete-drs-4-2-bk-4973")</f>
        <v>0.0</v>
      </c>
      <c r="E1862" s="7" t="n">
        <f>HYPERLINK("https://www.somogyi.hu/data/img/product_main_images/small/04973.jpg","https://www.somogyi.hu/data/img/product_main_images/small/04973.jpg")</f>
        <v>0.0</v>
      </c>
      <c r="F1862" s="2" t="inlineStr">
        <is>
          <t>5998312743959</t>
        </is>
      </c>
      <c r="G1862" s="4" t="inlineStr">
        <is>
          <t>Önnek is fontos a kábelek és vezetékek biztonságos és tartós szigetelése? A Home DRS 4-2/BK fekete színű zsugorcső az ideális választás minden olyan helyzetre, ahol a szigetelés integritása és a kábelvédelem elsődleges szempont. 
Az eredeti 4 mm-es átmérő hő hatására 2 mm-re csökken, így tökéletesen illeszkedik a kábelekre, biztosítva a szükséges védelmet.
A Home DRS család színváltozatai – fehér, fekete, piros, kék – megkönnyítik a kábelkötegek azonosítását és szervezését. A zsugorodási hőmérséklet 125°C körüli, amely a -55°C-tól 125°C-ig terjedő széles használati tartományban garantálja a megbízhatóságot. A poliolefin alapanyag kiváló húzószilárdságot (≥ 12 Mpa) és szakítónyúlást (≥ 200 %) biztosít, valamint az UV-sugárzással szemben is ellenálló.
Emellett a Home DRS 4-2/BK zsugorcső hosszváltozása ≤ 5 %, ami rendkívül stabil alkalmazást tesz lehetővé. A szigetelési szilárdsága ≥ 20 kV/mm, tűzállósága pedig a VW-1 szabvány szerint biztosított. A kiszerelési méret 1 méter, amely lehetővé teszi, hogy csak a szükséges mennyiséget használja fel.
Válassza a Home DRS 4-2/BK zsugorcsövet a hatékony és tartós szigetelés érdekében.</t>
        </is>
      </c>
    </row>
    <row r="1863">
      <c r="A1863" s="3" t="inlineStr">
        <is>
          <t>DRS 6-3/BK</t>
        </is>
      </c>
      <c r="B1863" s="2" t="inlineStr">
        <is>
          <t>Home DRS 6-3/BK zsugorcső, poliofelin, 6 mm, fekete</t>
        </is>
      </c>
      <c r="C1863" s="1" t="n">
        <v>589.0</v>
      </c>
      <c r="D1863" s="7" t="n">
        <f>HYPERLINK("https://www.somogyi.hu/product/home-drs-6-3-bk-zsugorcso-poliofelin-6-mm-fekete-drs-6-3-bk-4974","https://www.somogyi.hu/product/home-drs-6-3-bk-zsugorcso-poliofelin-6-mm-fekete-drs-6-3-bk-4974")</f>
        <v>0.0</v>
      </c>
      <c r="E1863" s="7" t="n">
        <f>HYPERLINK("https://www.somogyi.hu/data/img/product_main_images/small/04974.jpg","https://www.somogyi.hu/data/img/product_main_images/small/04974.jpg")</f>
        <v>0.0</v>
      </c>
      <c r="F1863" s="2" t="inlineStr">
        <is>
          <t>5998312743966</t>
        </is>
      </c>
      <c r="G1863" s="4" t="inlineStr">
        <is>
          <t>Önnek is fontos a kábelek és vezetékek biztonságos és tartós szigetelése? A Home DRS 6-3/BK fekete színű zsugorcső az ideális választás minden olyan helyzetre, ahol a szigetelés integritása és a kábelvédelem elsődleges szempont. 
Az eredeti 6 mm-es átmérő hő hatására 3 mm-re csökken, így tökéletesen illeszkedik a kábelekre, biztosítva a szükséges védelmet.
A Home DRS család színváltozatai – fehér, fekete, piros, kék – megkönnyítik a kábelkötegek azonosítását és szervezését. A zsugorodási hőmérséklet 125°C körüli, amely a -55°C-tól 125°C-ig terjedő széles használati tartományban garantálja a megbízhatóságot. A poliolefin alapanyag kiváló húzószilárdságot (≥ 12 Mpa) és szakítónyúlást (≥ 200 %) biztosít, valamint az UV-sugárzással szemben is ellenálló.
Emellett a Home DRS 6-3/BK zsugorcső hosszváltozása ≤ 5 %, ami rendkívül stabil alkalmazást tesz lehetővé. A szigetelési szilárdsága ≥ 20 kV/mm, tűzállósága pedig a VW-1 szabvány szerint biztosított. A kiszerelési méret 1 méter, amely lehetővé teszi, hogy csak a szükséges mennyiséget használja fel.
Válassza a Home DRS 6-3/BK zsugorcsövet a hatékony és tartós szigetelés érdekében.</t>
        </is>
      </c>
    </row>
    <row r="1864">
      <c r="A1864" s="3" t="inlineStr">
        <is>
          <t>DRS 6-3/WH</t>
        </is>
      </c>
      <c r="B1864" s="2" t="inlineStr">
        <is>
          <t>Home DRS 6-3/WH zsugorcső, poliofelin, 6 mm, fehér</t>
        </is>
      </c>
      <c r="C1864" s="1" t="n">
        <v>589.0</v>
      </c>
      <c r="D1864" s="7" t="n">
        <f>HYPERLINK("https://www.somogyi.hu/product/home-drs-6-3-wh-zsugorcso-poliofelin-6-mm-feher-drs-6-3-wh-4975","https://www.somogyi.hu/product/home-drs-6-3-wh-zsugorcso-poliofelin-6-mm-feher-drs-6-3-wh-4975")</f>
        <v>0.0</v>
      </c>
      <c r="E1864" s="7" t="n">
        <f>HYPERLINK("https://www.somogyi.hu/data/img/product_main_images/small/04975.jpg","https://www.somogyi.hu/data/img/product_main_images/small/04975.jpg")</f>
        <v>0.0</v>
      </c>
      <c r="F1864" s="2" t="inlineStr">
        <is>
          <t>5998312743973</t>
        </is>
      </c>
      <c r="G1864" s="4" t="inlineStr">
        <is>
          <t>Önnek is fontos a kábelek és vezetékek biztonságos és tartós szigetelése? A Home DRS 6-3/WH fehér színű zsugorcső az ideális választás minden olyan helyzetre, ahol a szigetelés integritása és a kábelvédelem elsődleges szempont. 
Az eredeti 6 mm-es átmérő hő hatására 3 mm-re csökken, így tökéletesen illeszkedik a kábelekre, biztosítva a szükséges védelmet.
A Home DRS család színváltozatai – fehér, fekete, piros, kék – megkönnyítik a kábelkötegek azonosítását és szervezését. A zsugorodási hőmérséklet 125°C körüli, amely a -55°C-tól 125°C-ig terjedő széles használati tartományban garantálja a megbízhatóságot. A poliolefin alapanyag kiváló húzószilárdságot (≥ 12 Mpa) és szakítónyúlást (≥ 200 %) biztosít, valamint az UV-sugárzással szemben is ellenálló.
Emellett a Home DRS 6-3/WH zsugorcső hosszváltozása ≤ 5 %, ami rendkívül stabil alkalmazást tesz lehetővé. A szigetelési szilárdsága ≥ 20 kV/mm, tűzállósága pedig a VW-1 szabvány szerint biztosított. A kiszerelési méret 1 méter, amely lehetővé teszi, hogy csak a szükséges mennyiséget használja fel.
Válassza a Home DRS 6-3/WH zsugorcsövet a hatékony és tartós szigetelés érdekében.</t>
        </is>
      </c>
    </row>
    <row r="1865">
      <c r="A1865" s="3" t="inlineStr">
        <is>
          <t>DRS 6-3/RD</t>
        </is>
      </c>
      <c r="B1865" s="2" t="inlineStr">
        <is>
          <t>Home DRS 6-3/RD zsugorcső, poliofelin, 6 mm, piros</t>
        </is>
      </c>
      <c r="C1865" s="1" t="n">
        <v>589.0</v>
      </c>
      <c r="D1865" s="7" t="n">
        <f>HYPERLINK("https://www.somogyi.hu/product/home-drs-6-3-rd-zsugorcso-poliofelin-6-mm-piros-drs-6-3-rd-4977","https://www.somogyi.hu/product/home-drs-6-3-rd-zsugorcso-poliofelin-6-mm-piros-drs-6-3-rd-4977")</f>
        <v>0.0</v>
      </c>
      <c r="E1865" s="7" t="n">
        <f>HYPERLINK("https://www.somogyi.hu/data/img/product_main_images/small/04977.jpg","https://www.somogyi.hu/data/img/product_main_images/small/04977.jpg")</f>
        <v>0.0</v>
      </c>
      <c r="F1865" s="2" t="inlineStr">
        <is>
          <t>5998312743997</t>
        </is>
      </c>
      <c r="G1865" s="4" t="inlineStr">
        <is>
          <t>Önnek is fontos a kábelek és vezetékek biztonságos és tartós szigetelése? A Home DRS 6-3/RD piros színű zsugorcső az ideális választás minden olyan helyzetre, ahol a szigetelés integritása és a kábelvédelem elsődleges szempont. 
Az eredeti 6 mm-es átmérő hő hatására 3 mm-re csökken, így tökéletesen illeszkedik a kábelekre, biztosítva a szükséges védelmet.
A Home DRS család színváltozatai – fehér, fekete, piros, kék – megkönnyítik a kábelkötegek azonosítását és szervezését. A zsugorodási hőmérséklet 125°C körüli, amely a -55°C-tól 125°C-ig terjedő széles használati tartományban garantálja a megbízhatóságot. A poliolefin alapanyag kiváló húzószilárdságot (≥ 12 Mpa) és szakítónyúlást (≥ 200 %) biztosít, valamint az UV-sugárzással szemben is ellenálló.
Emellett a Home DRS 6-3/RD zsugorcső hosszváltozása ≤ 5 %, ami rendkívül stabil alkalmazást tesz lehetővé. A szigetelési szilárdsága ≥ 20 kV/mm, tűzállósága pedig a VW-1 szabvány szerint biztosított. A kiszerelési méret 1 méter, amely lehetővé teszi, hogy csak a szükséges mennyiséget használja fel.
Válassza a Home DRS 6-3/RD zsugorcsövet a hatékony és tartós szigetelés érdekében.</t>
        </is>
      </c>
    </row>
    <row r="1866">
      <c r="A1866" s="3" t="inlineStr">
        <is>
          <t>DRS 10-5/BK</t>
        </is>
      </c>
      <c r="B1866" s="2" t="inlineStr">
        <is>
          <t>Home DRS 10-5/BK zsugorcső, poliofelin, 10 mm, fekete</t>
        </is>
      </c>
      <c r="C1866" s="1" t="n">
        <v>779.0</v>
      </c>
      <c r="D1866" s="7" t="n">
        <f>HYPERLINK("https://www.somogyi.hu/product/home-drs-10-5-bk-zsugorcso-poliofelin-10-mm-fekete-drs-10-5-bk-4980","https://www.somogyi.hu/product/home-drs-10-5-bk-zsugorcso-poliofelin-10-mm-fekete-drs-10-5-bk-4980")</f>
        <v>0.0</v>
      </c>
      <c r="E1866" s="7" t="n">
        <f>HYPERLINK("https://www.somogyi.hu/data/img/product_main_images/small/04980.jpg","https://www.somogyi.hu/data/img/product_main_images/small/04980.jpg")</f>
        <v>0.0</v>
      </c>
      <c r="F1866" s="2" t="inlineStr">
        <is>
          <t>5998312744024</t>
        </is>
      </c>
      <c r="G1866" s="4" t="inlineStr">
        <is>
          <t>Önnek is fontos a kábelek és vezetékek biztonságos és tartós szigetelése? A Home DRS 10-5/BK fekete színű zsugorcső az ideális választás minden olyan helyzetre, ahol a szigetelés integritása és a kábelvédelem elsődleges szempont. 
Az eredeti 10 mm-es átmérő hő hatására 5 mm-re csökken, így tökéletesen illeszkedik a kábelekre, biztosítva a szükséges védelmet.
A Home DRS család színváltozatai – fehér, fekete, piros, kék – megkönnyítik a kábelkötegek azonosítását és szervezését. A zsugorodási hőmérséklet 125°C körüli, amely a -55°C-tól 125°C-ig terjedő széles használati tartományban garantálja a megbízhatóságot. A poliolefin alapanyag kiváló húzószilárdságot (≥ 12 Mpa) és szakítónyúlást (≥ 200 %) biztosít, valamint az UV-sugárzással szemben is ellenálló.
Emellett a Home DRS 10-5/BK zsugorcső hosszváltozása ≤ 5 %, ami rendkívül stabil alkalmazást tesz lehetővé. A szigetelési szilárdsága ≥ 20 kV/mm, tűzállósága pedig a VW-1 szabvány szerint biztosított. A kiszerelési méret 1 méter, amely lehetővé teszi, hogy csak a szükséges mennyiséget használja fel.
Válassza a Home DRS 10-5/BK zsugorcsövet a hatékony és tartós szigetelés érdekében.</t>
        </is>
      </c>
    </row>
    <row r="1867">
      <c r="A1867" s="3" t="inlineStr">
        <is>
          <t>DRS 15-7.5/BK</t>
        </is>
      </c>
      <c r="B1867" s="2" t="inlineStr">
        <is>
          <t>Home DRS 15-7.5/BK zsugorcső, poliofelin, 15 mm, fekete</t>
        </is>
      </c>
      <c r="C1867" s="1" t="n">
        <v>1050.0</v>
      </c>
      <c r="D1867" s="7" t="n">
        <f>HYPERLINK("https://www.somogyi.hu/product/home-drs-15-7-5-bk-zsugorcso-poliofelin-15-mm-fekete-drs-15-7-5-bk-4984","https://www.somogyi.hu/product/home-drs-15-7-5-bk-zsugorcso-poliofelin-15-mm-fekete-drs-15-7-5-bk-4984")</f>
        <v>0.0</v>
      </c>
      <c r="E1867" s="7" t="n">
        <f>HYPERLINK("https://www.somogyi.hu/data/img/product_main_images/small/04984.jpg","https://www.somogyi.hu/data/img/product_main_images/small/04984.jpg")</f>
        <v>0.0</v>
      </c>
      <c r="F1867" s="2" t="inlineStr">
        <is>
          <t>5998312744062</t>
        </is>
      </c>
      <c r="G1867" s="4" t="inlineStr">
        <is>
          <t>Széles kínálatunkban garantáltan megtalálhatja az igényeinek megfelelő kiszerelésben kapható zsugorcsöveket!
A DRS szériában kapható zsugorcsövek alkalmazhatóak vezetékek összefogására, toldásra, szigetelésre, jelölésre, valamint korrózióvédelemre, törésgátlásra, tehermentesítésre; akkucsomagok elkészítésére, elektronikai alkatrészek védelmére, autóvillamosságra. A masszív kialakítással rendelkező DRS széria továbbá alkalmas olyan alkatrészek védelmére, ahol nagy átmérőkülönbségek fordulhatnak elő; pl. kábelsaruk esetében. A zsugorcsövek átmérője hő hatására a felére csökken. Négy féle szín közül választhatunk: fehér, fekete, piros, kék. A zsugorcsövek kiszerelése: 1 m.
A DRS 15-7.5/BK fekete színű zsugorcső 15 mm-es eredeti és 7,5 mm-es zsugorított átmérővel rendelkezik. Zsugorodási hőmérséklete: 125°C (90 – 125°C). Felhasználhatósága: - 55 – 125 °C között. Válassza a minőségi termékeket és rendeljen webáruházunkból.</t>
        </is>
      </c>
    </row>
    <row r="1868">
      <c r="A1868" s="3" t="inlineStr">
        <is>
          <t>DRS 20-10/BK</t>
        </is>
      </c>
      <c r="B1868" s="2" t="inlineStr">
        <is>
          <t>Home DRS 20-10/BK zsugorcső, poliofelin, 20 mm, fekete</t>
        </is>
      </c>
      <c r="C1868" s="1" t="n">
        <v>1350.0</v>
      </c>
      <c r="D1868" s="7" t="n">
        <f>HYPERLINK("https://www.somogyi.hu/product/home-drs-20-10-bk-zsugorcso-poliofelin-20-mm-fekete-drs-20-10-bk-4990","https://www.somogyi.hu/product/home-drs-20-10-bk-zsugorcso-poliofelin-20-mm-fekete-drs-20-10-bk-4990")</f>
        <v>0.0</v>
      </c>
      <c r="E1868" s="7" t="n">
        <f>HYPERLINK("https://www.somogyi.hu/data/img/product_main_images/small/04990.jpg","https://www.somogyi.hu/data/img/product_main_images/small/04990.jpg")</f>
        <v>0.0</v>
      </c>
      <c r="F1868" s="2" t="inlineStr">
        <is>
          <t>5998312744123</t>
        </is>
      </c>
      <c r="G1868" s="4" t="inlineStr">
        <is>
          <t>Önnek is fontos a kábelek és vezetékek biztonságos és tartós szigetelése? A Home DRS 20-10/BK fekete színű zsugorcső az ideális választás minden olyan helyzetre, ahol a szigetelés integritása és a kábelvédelem elsődleges szempont. 
Az eredeti 20 mm-es átmérő hő hatására 10 mm-re csökken, így tökéletesen illeszkedik a kábelekre, biztosítva a szükséges védelmet.
A Home DRS család színváltozatai – fehér, fekete, piros, kék – megkönnyítik a kábelkötegek azonosítását és szervezését. A zsugorodási hőmérséklet 125°C körüli, amely a -55°C-tól 125°C-ig terjedő széles használati tartományban garantálja a megbízhatóságot. A poliolefin alapanyag kiváló húzószilárdságot (≥ 12 Mpa) és szakítónyúlást (≥ 200 %) biztosít, valamint az UV-sugárzással szemben is ellenálló.
Emellett a Home DRS 20-10/BK zsugorcső hosszváltozása ≤ 5 %, ami rendkívül stabil alkalmazást tesz lehetővé. A szigetelési szilárdsága ≥ 20 kV/mm, tűzállósága pedig a VW-1 szabvány szerint biztosított. A kiszerelési méret 1 méter, amely lehetővé teszi, hogy csak a szükséges mennyiséget használja fel.
Válassza a Home DRS 20-10/BK zsugorcsövet a hatékony és tartós szigetelés érdekében.</t>
        </is>
      </c>
    </row>
    <row r="1869">
      <c r="A1869" s="6" t="inlineStr">
        <is>
          <t xml:space="preserve">   Mérés, szerszám, forrasztás / Szigetelőszalag, ragasztószalag</t>
        </is>
      </c>
      <c r="B1869" s="6" t="inlineStr">
        <is>
          <t/>
        </is>
      </c>
      <c r="C1869" s="6" t="inlineStr">
        <is>
          <t/>
        </is>
      </c>
      <c r="D1869" s="6" t="inlineStr">
        <is>
          <t/>
        </is>
      </c>
      <c r="E1869" s="6" t="inlineStr">
        <is>
          <t/>
        </is>
      </c>
      <c r="F1869" s="6" t="inlineStr">
        <is>
          <t/>
        </is>
      </c>
      <c r="G1869" s="6" t="inlineStr">
        <is>
          <t/>
        </is>
      </c>
    </row>
    <row r="1870">
      <c r="A1870" s="3" t="inlineStr">
        <is>
          <t>RS 50/10</t>
        </is>
      </c>
      <c r="B1870" s="2" t="inlineStr">
        <is>
          <t>Home RS 50/10 textil ragasztószalag, 10 m, ezüst</t>
        </is>
      </c>
      <c r="C1870" s="1" t="n">
        <v>1090.0</v>
      </c>
      <c r="D1870" s="7" t="n">
        <f>HYPERLINK("https://www.somogyi.hu/product/home-rs-50-10-textil-ragasztoszalag-10-m-ezust-rs-50-10-11811","https://www.somogyi.hu/product/home-rs-50-10-textil-ragasztoszalag-10-m-ezust-rs-50-10-11811")</f>
        <v>0.0</v>
      </c>
      <c r="E1870" s="7" t="n">
        <f>HYPERLINK("https://www.somogyi.hu/data/img/product_main_images/small/11811.jpg","https://www.somogyi.hu/data/img/product_main_images/small/11811.jpg")</f>
        <v>0.0</v>
      </c>
      <c r="F1870" s="2" t="inlineStr">
        <is>
          <t>5999084900236</t>
        </is>
      </c>
      <c r="G1870" s="4" t="inlineStr">
        <is>
          <t>Szüksége van egy megbízható ragasztószalagra, ami szinte minden kihívásnak megfelel? A Home RS 50/10 textil ragasztószalag kiváló választás mindenki számára, aki egy erős, tartós és sokoldalú megoldást keres otthoni, műhelybeli vagy ipari használatra.
Ez az ezüst színű, textil erősítésű ragasztószalag rendkívüli szakítószilárdsággal rendelkezik, ami lehetővé teszi, hogy megbirkózzon a legnehezebb feladatokkal is. A ragasztószalag különlegessége nem csak az erősségében rejlik, hanem nagyon jó tapadási tulajdonságokkal is bír, így szinte bármilyen felülethez tökéletesen hozzátapad.
50mm szélességével és 10m hosszúságával a Home RS 50/10 ragasztószalag elegendő anyagot biztosít számos projekt megvalósításához, legyen szó repedések javításáról, tárgyak rögzítéséről vagy akár ideiglenes szerelésekről. Az erős textilerősítés miatt ez a ragasztószalag nem csak erős, hanem rendkívül tartós is, így hosszú távú megoldást nyújt.
Válassza a Home RS 50/10 textil ragasztószalagot, és bízza a legnehezebb ragasztási feladatokat egy megbízható partnerre.</t>
        </is>
      </c>
    </row>
    <row r="1871">
      <c r="A1871" s="3" t="inlineStr">
        <is>
          <t>SS 220</t>
        </is>
      </c>
      <c r="B1871" s="2" t="inlineStr">
        <is>
          <t>Home SS 220 szigetelőszalag, 20 m, piros</t>
        </is>
      </c>
      <c r="C1871" s="1" t="n">
        <v>489.0</v>
      </c>
      <c r="D1871" s="7" t="n">
        <f>HYPERLINK("https://www.somogyi.hu/product/home-ss-220-szigeteloszalag-20-m-piros-ss-220-3092","https://www.somogyi.hu/product/home-ss-220-szigeteloszalag-20-m-piros-ss-220-3092")</f>
        <v>0.0</v>
      </c>
      <c r="E1871" s="7" t="n">
        <f>HYPERLINK("https://www.somogyi.hu/data/img/product_main_images/small/03092.jpg","https://www.somogyi.hu/data/img/product_main_images/small/03092.jpg")</f>
        <v>0.0</v>
      </c>
      <c r="F1871" s="2" t="inlineStr">
        <is>
          <t>5998312734162</t>
        </is>
      </c>
      <c r="G1871" s="4" t="inlineStr">
        <is>
          <t>Egy megbízható szigetelőszalagot keres, amely szinte minden elektronikai projektben megállja a helyét? A Home SS 220 szigetelőszalag kiváló választás azok számára, akik egy univerzális, tartós és hatékony szigetelési megoldást keresnek otthoni vagy professzionális használatra.
Ez a piros szigetelőszalag 20 méter hosszúságú, 19 mm szélességű és 0,13 mm vastagságú, ideális méretekkel rendelkezik ahhoz, hogy széles körű alkalmazási lehetőségeket biztosítson. Legyen szó általános elektromos szigetelési munkákról, vezetékek javításáról vagy összekötéséről, a Home SS 220 minden szituációban megbízható teljesítményt nyújt.
Vastagságát tekintve ez a szigetelőszalag elegendően erős ahhoz, hogy hatékonyan ellenálljon a mechanikai sérüléseknek, miközben rugalmassága lehetővé teszi, hogy szűk vagy nehezen hozzáférhető helyekre is könnyedén felhelyezhető legyen. A kiváló minőségű ragasztóréteg biztosítja, hogy a szalag hosszú távon is a helyén maradjon.
Válassza a Home SS 220 szigetelőszalagot, és biztosítsa elektromos berendezéseinek és vezetékeinek a legmagasabb szintű védelmet.</t>
        </is>
      </c>
    </row>
    <row r="1872">
      <c r="A1872" s="3" t="inlineStr">
        <is>
          <t>SS 420</t>
        </is>
      </c>
      <c r="B1872" s="2" t="inlineStr">
        <is>
          <t>Home SS 420 szigetelőszalag, 20 m, zöld</t>
        </is>
      </c>
      <c r="C1872" s="1" t="n">
        <v>489.0</v>
      </c>
      <c r="D1872" s="7" t="n">
        <f>HYPERLINK("https://www.somogyi.hu/product/home-ss-420-szigeteloszalag-20-m-zold-ss-420-3095","https://www.somogyi.hu/product/home-ss-420-szigeteloszalag-20-m-zold-ss-420-3095")</f>
        <v>0.0</v>
      </c>
      <c r="E1872" s="7" t="n">
        <f>HYPERLINK("https://www.somogyi.hu/data/img/product_main_images/small/03095.jpg","https://www.somogyi.hu/data/img/product_main_images/small/03095.jpg")</f>
        <v>0.0</v>
      </c>
      <c r="F1872" s="2" t="inlineStr">
        <is>
          <t>5998312734193</t>
        </is>
      </c>
      <c r="G1872" s="4" t="inlineStr">
        <is>
          <t>Egy megbízható szigetelőszalagot keres, amely szinte minden elektronikai projektben megállja a helyét? A Home SS 420 szigetelőszalag kiváló választás azok számára, akik egy univerzális, tartós és hatékony szigetelési megoldást keresnek otthoni vagy professzionális használatra.
Ez a zöld szigetelőszalag 20 méter hosszúságú, 19 mm szélességű és 0,13 mm vastagságú, ideális méretekkel rendelkezik ahhoz, hogy széles körű alkalmazási lehetőségeket biztosítson. Legyen szó általános elektromos szigetelési munkákról, vezetékek javításáról vagy összekötéséről, a Home SS 420 minden szituációban megbízható teljesítményt nyújt.
Vastagságát tekintve ez a szigetelőszalag elegendően erős ahhoz, hogy hatékonyan ellenálljon a mechanikai sérüléseknek, miközben rugalmassága lehetővé teszi, hogy szűk vagy nehezen hozzáférhető helyekre is könnyedén felhelyezhető legyen. A kiváló minőségű ragasztóréteg biztosítja, hogy a szalag hosszú távon is a helyén maradjon.
Válassza a Home SS 420 szigetelőszalagot, és biztosítsa elektromos berendezéseinek és vezetékeinek a legmagasabb szintű védelmet.</t>
        </is>
      </c>
    </row>
    <row r="1873">
      <c r="A1873" s="3" t="inlineStr">
        <is>
          <t>RS 50</t>
        </is>
      </c>
      <c r="B1873" s="2" t="inlineStr">
        <is>
          <t>Home RS 50 textil ragasztószalag, 50 m, ezüst</t>
        </is>
      </c>
      <c r="C1873" s="1" t="n">
        <v>3390.0</v>
      </c>
      <c r="D1873" s="7" t="n">
        <f>HYPERLINK("https://www.somogyi.hu/product/home-rs-50-textil-ragasztoszalag-50-m-ezust-rs-50-5009","https://www.somogyi.hu/product/home-rs-50-textil-ragasztoszalag-50-m-ezust-rs-50-5009")</f>
        <v>0.0</v>
      </c>
      <c r="E1873" s="7" t="n">
        <f>HYPERLINK("https://www.somogyi.hu/data/img/product_main_images/small/05009.jpg","https://www.somogyi.hu/data/img/product_main_images/small/05009.jpg")</f>
        <v>0.0</v>
      </c>
      <c r="F1873" s="2" t="inlineStr">
        <is>
          <t>5998312744314</t>
        </is>
      </c>
      <c r="G1873" s="4" t="inlineStr">
        <is>
          <t>Szüksége van egy megbízható ragasztószalagra, ami szinte minden kihívásnak megfelel? A Home RS 50 textil ragasztószalag kiváló választás mindenki számára, aki egy erős, tartós és sokoldalú megoldást keres otthoni, műhelybeli vagy ipari használatra.
Ez az ezüst színű, textil erősítésű ragasztószalag rendkívüli szakítószilárdsággal rendelkezik, ami lehetővé teszi, hogy megbirkózzon a legnehezebb feladatokkal is. A ragasztószalag különlegessége nem csak az erősségében rejlik, hanem nagyon jó tapadási tulajdonságokkal is bír, így szinte bármilyen felülethez tökéletesen hozzátapad.
50mm szélességével és 50m hosszúságával a Home RS 50 ragasztószalag elegendő anyagot biztosít számos projekt megvalósításához, legyen szó repedések javításáról, tárgyak rögzítéséről vagy akár ideiglenes szerelésekről. Az erős textilerősítés miatt ez a ragasztószalag nem csak erős, hanem rendkívül tartós is, így hosszú távú megoldást nyújt.
Válassza a Home RS 50 textil ragasztószalagot, és bízza a legnehezebb ragasztási feladatokat egy megbízható partnerre.</t>
        </is>
      </c>
    </row>
    <row r="1874">
      <c r="A1874" s="3" t="inlineStr">
        <is>
          <t>RSA 50/10</t>
        </is>
      </c>
      <c r="B1874" s="2" t="inlineStr">
        <is>
          <t xml:space="preserve">Home RSA 50/10 tiszta alumínium szigetelőszalag, 30 mikron vastag, UV álló, 10 m </t>
        </is>
      </c>
      <c r="C1874" s="1" t="n">
        <v>1350.0</v>
      </c>
      <c r="D1874" s="7" t="n">
        <f>HYPERLINK("https://www.somogyi.hu/product/home-rsa-50-10-tiszta-aluminium-szigeteloszalag-30-mikron-vastag-uv-allo-10-m-rsa-50-10-16906","https://www.somogyi.hu/product/home-rsa-50-10-tiszta-aluminium-szigeteloszalag-30-mikron-vastag-uv-allo-10-m-rsa-50-10-16906")</f>
        <v>0.0</v>
      </c>
      <c r="E1874" s="7" t="n">
        <f>HYPERLINK("https://www.somogyi.hu/data/img/product_main_images/small/16906.jpg","https://www.somogyi.hu/data/img/product_main_images/small/16906.jpg")</f>
        <v>0.0</v>
      </c>
      <c r="F1874" s="2" t="inlineStr">
        <is>
          <t>5999084949389</t>
        </is>
      </c>
      <c r="G1874" s="4" t="inlineStr">
        <is>
          <t>Van univerzális megoldás, ami a kihívást jelentő környezetben is megvédi a szerkezeteket? A Home RSA 50/10 tiszta alumínium ragasztószalag minden igényt kielégítő választás, ha hőszigetelésről, árnyékolásról vagy éppen elektromos vezetésről van szó.
Ez a 30 mikron vastagságú tiszta alumínium ragasztószalag egy öntapadós papírréteggel rendelkezik, ami garantálja a könnyű és gyors alkalmazást. Az időtálló akril ragasztóréteg biztosítja, hogy a szalag kiváló tapadást nyújtson magas hőmérsékleteken is, míg UV állósága lehetővé teszi, hogy a szabadban is hosszú távon megőrizze teljesítményét.
A Home RSA 50/10 különlegessége abban rejlik, hogy nemcsak jól vezeti a hőt és az elektromosságot, hanem a hőt vissza is veri, ezáltal ideális választás gépészeti szigetelőanyagok hőhíd nélküli végtelenítésére, légcsatornák szigetelésére és árnyékolásra. Emellett kiválóan alkalmazható enyhe savak és lúgok elleni maszkolásként, így széles körű ipari felhasználásra kínál megoldást.
Fedezze fel a Home RSA 50/10 tiszta alumínium ragasztószalag sokoldalúságát, ami megbízható partner lesz a kül- és beltéri projektekben egyaránt.</t>
        </is>
      </c>
    </row>
    <row r="1875">
      <c r="A1875" s="3" t="inlineStr">
        <is>
          <t>SS 920</t>
        </is>
      </c>
      <c r="B1875" s="2" t="inlineStr">
        <is>
          <t>Home SS 920 szigetelőszalag, 20 m, zöld/sárga</t>
        </is>
      </c>
      <c r="C1875" s="1" t="n">
        <v>539.0</v>
      </c>
      <c r="D1875" s="7" t="n">
        <f>HYPERLINK("https://www.somogyi.hu/product/home-ss-920-szigeteloszalag-20-m-zold-sarga-ss-920-3091","https://www.somogyi.hu/product/home-ss-920-szigeteloszalag-20-m-zold-sarga-ss-920-3091")</f>
        <v>0.0</v>
      </c>
      <c r="E1875" s="7" t="n">
        <f>HYPERLINK("https://www.somogyi.hu/data/img/product_main_images/small/03091.jpg","https://www.somogyi.hu/data/img/product_main_images/small/03091.jpg")</f>
        <v>0.0</v>
      </c>
      <c r="F1875" s="2" t="inlineStr">
        <is>
          <t>5998312734155</t>
        </is>
      </c>
      <c r="G1875" s="4" t="inlineStr">
        <is>
          <t>Egy megbízható szigetelőszalagot keres, amely szinte minden elektronikai projektben megállja a helyét? A Home SS 920 szigetelőszalag kiváló választás azok számára, akik egy univerzális, tartós és hatékony szigetelési megoldást keresnek otthoni vagy professzionális használatra.
Ez a zöld/sárga szigetelőszalag 20 méter hosszúságú, 19 mm szélességű és 0,13 mm vastagságú, ideális méretekkel rendelkezik ahhoz, hogy széles körű alkalmazási lehetőségeket biztosítson. Legyen szó általános elektromos szigetelési munkákról, vezetékek javításáról vagy összekötéséről, a Home SS 920 minden szituációban megbízható teljesítményt nyújt.
Vastagságát tekintve ez a szigetelőszalag elegendően erős ahhoz, hogy hatékonyan ellenálljon a mechanikai sérüléseknek, miközben rugalmassága lehetővé teszi, hogy szűk vagy nehezen hozzáférhető helyekre is könnyedén felhelyezhető legyen. A kiváló minőségű ragasztóréteg biztosítja, hogy a szalag hosszú távon is a helyén maradjon.
Válassza a Home SS 920 szigetelőszalagot, és biztosítsa elektromos berendezéseinek és vezetékeinek a legmagasabb szintű védelmet.</t>
        </is>
      </c>
    </row>
    <row r="1876">
      <c r="A1876" s="3" t="inlineStr">
        <is>
          <t>SS 320</t>
        </is>
      </c>
      <c r="B1876" s="2" t="inlineStr">
        <is>
          <t>Home SS 320 szigetelőszalag, 20 m, kék</t>
        </is>
      </c>
      <c r="C1876" s="1" t="n">
        <v>489.0</v>
      </c>
      <c r="D1876" s="7" t="n">
        <f>HYPERLINK("https://www.somogyi.hu/product/home-ss-320-szigeteloszalag-20-m-kek-ss-320-3096","https://www.somogyi.hu/product/home-ss-320-szigeteloszalag-20-m-kek-ss-320-3096")</f>
        <v>0.0</v>
      </c>
      <c r="E1876" s="7" t="n">
        <f>HYPERLINK("https://www.somogyi.hu/data/img/product_main_images/small/03096.jpg","https://www.somogyi.hu/data/img/product_main_images/small/03096.jpg")</f>
        <v>0.0</v>
      </c>
      <c r="F1876" s="2" t="inlineStr">
        <is>
          <t>5998312734209</t>
        </is>
      </c>
      <c r="G1876" s="4" t="inlineStr">
        <is>
          <t>Egy megbízható szigetelőszalagot keres, amely szinte minden elektronikai projektben megállja a helyét? A Home SS 320 szigetelőszalag kiváló választás azok számára, akik egy univerzális, tartós és hatékony szigetelési megoldást keresnek otthoni vagy professzionális használatra.
Ez a kék szigetelőszalag 20 méter hosszúságú, 19 mm szélességű és 0,13 mm vastagságú, ideális méretekkel rendelkezik ahhoz, hogy széles körű alkalmazási lehetőségeket biztosítson. Legyen szó általános elektromos szigetelési munkákról, vezetékek javításáról vagy összekötéséről, a Home SS 320 minden szituációban megbízható teljesítményt nyújt.
Vastagságát tekintve ez a szigetelőszalag elegendően erős ahhoz, hogy hatékonyan ellenálljon a mechanikai sérüléseknek, miközben rugalmassága lehetővé teszi, hogy szűk vagy nehezen hozzáférhető helyekre is könnyedén felhelyezhető legyen. A kiváló minőségű ragasztóréteg biztosítja, hogy a szalag hosszú távon is a helyén maradjon.
Válassza a Home SS 320 szigetelőszalagot, és biztosítsa elektromos berendezéseinek és vezetékeinek a legmagasabb szintű védelmet.</t>
        </is>
      </c>
    </row>
    <row r="1877">
      <c r="A1877" s="3" t="inlineStr">
        <is>
          <t>SS 120</t>
        </is>
      </c>
      <c r="B1877" s="2" t="inlineStr">
        <is>
          <t>Home SS 120 szigetelőszalag, 20 m, fekete</t>
        </is>
      </c>
      <c r="C1877" s="1" t="n">
        <v>489.0</v>
      </c>
      <c r="D1877" s="7" t="n">
        <f>HYPERLINK("https://www.somogyi.hu/product/home-ss-120-szigeteloszalag-20-m-fekete-ss-120-3093","https://www.somogyi.hu/product/home-ss-120-szigeteloszalag-20-m-fekete-ss-120-3093")</f>
        <v>0.0</v>
      </c>
      <c r="E1877" s="7" t="n">
        <f>HYPERLINK("https://www.somogyi.hu/data/img/product_main_images/small/03093.jpg","https://www.somogyi.hu/data/img/product_main_images/small/03093.jpg")</f>
        <v>0.0</v>
      </c>
      <c r="F1877" s="2" t="inlineStr">
        <is>
          <t>5998312734179</t>
        </is>
      </c>
      <c r="G1877" s="4" t="inlineStr">
        <is>
          <t>Egy megbízható szigetelőszalagot keres, amely szinte minden elektronikai projektben megállja a helyét? A Home SS 120 szigetelőszalag kiváló választás azok számára, akik egy univerzális, tartós és hatékony szigetelési megoldást keresnek otthoni vagy professzionális használatra.
Ez a fekete szigetelőszalag 20 méter hosszúságú, 19 mm szélességű és 0,13 mm vastagságú, ideális méretekkel rendelkezik ahhoz, hogy széles körű alkalmazási lehetőségeket biztosítson. Legyen szó általános elektromos szigetelési munkákról, vezetékek javításáról vagy összekötéséről, a Home SS 120 minden szituációban megbízható teljesítményt nyújt.
Vastagságát tekintve ez a szigetelőszalag elegendően erős ahhoz, hogy hatékonyan ellenálljon a mechanikai sérüléseknek, miközben rugalmassága lehetővé teszi, hogy szűk vagy nehezen hozzáférhető helyekre is könnyedén felhelyezhető legyen. A kiváló minőségű ragasztóréteg biztosítja, hogy a szalag hosszú távon is a helyén maradjon.
Válassza a Home SS 120 szigetelőszalagot, és biztosítsa elektromos berendezéseinek és vezetékeinek a legmagasabb szintű védelmet.</t>
        </is>
      </c>
    </row>
    <row r="1878">
      <c r="A1878" s="3" t="inlineStr">
        <is>
          <t>SS 520</t>
        </is>
      </c>
      <c r="B1878" s="2" t="inlineStr">
        <is>
          <t>Home SS 520 szigetelőszalag, 20 m, fehér</t>
        </is>
      </c>
      <c r="C1878" s="1" t="n">
        <v>489.0</v>
      </c>
      <c r="D1878" s="7" t="n">
        <f>HYPERLINK("https://www.somogyi.hu/product/home-ss-520-szigeteloszalag-20-m-feher-ss-520-3097","https://www.somogyi.hu/product/home-ss-520-szigeteloszalag-20-m-feher-ss-520-3097")</f>
        <v>0.0</v>
      </c>
      <c r="E1878" s="7" t="n">
        <f>HYPERLINK("https://www.somogyi.hu/data/img/product_main_images/small/03097.jpg","https://www.somogyi.hu/data/img/product_main_images/small/03097.jpg")</f>
        <v>0.0</v>
      </c>
      <c r="F1878" s="2" t="inlineStr">
        <is>
          <t>5998312734216</t>
        </is>
      </c>
      <c r="G1878" s="4" t="inlineStr">
        <is>
          <t>Egy megbízható szigetelőszalagot keres, amely szinte minden elektronikai projektben megállja a helyét? A Home SS 520 szigetelőszalag kiváló választás azok számára, akik egy univerzális, tartós és hatékony szigetelési megoldást keresnek otthoni vagy professzionális használatra.
Ez a fehér szigetelőszalag 20 méter hosszúságú, 19 mm szélességű és 0,13 mm vastagságú, ideális méretekkel rendelkezik ahhoz, hogy széles körű alkalmazási lehetőségeket biztosítson. Legyen szó általános elektromos szigetelési munkákról, vezetékek javításáról vagy összekötéséről, a Home SS 520 minden szituációban megbízható teljesítményt nyújt.
Vastagságát tekintve ez a szigetelőszalag elegendően erős ahhoz, hogy hatékonyan ellenálljon a mechanikai sérüléseknek, miközben rugalmassága lehetővé teszi, hogy szűk vagy nehezen hozzáférhető helyekre is könnyedén felhelyezhető legyen. A kiváló minőségű ragasztóréteg biztosítja, hogy a szalag hosszú távon is a helyén maradjon.
Válassza a Home SS 520 szigetelőszalagot, és biztosítsa elektromos berendezéseinek és vezetékeinek a legmagasabb szintű védelmet.</t>
        </is>
      </c>
    </row>
    <row r="1879">
      <c r="A1879" s="3" t="inlineStr">
        <is>
          <t>SS 110</t>
        </is>
      </c>
      <c r="B1879" s="2" t="inlineStr">
        <is>
          <t>Home SS 110 szigetelőszalag, 10 m, fekete</t>
        </is>
      </c>
      <c r="C1879" s="1" t="n">
        <v>279.0</v>
      </c>
      <c r="D1879" s="7" t="n">
        <f>HYPERLINK("https://www.somogyi.hu/product/home-ss-110-szigeteloszalag-10-m-fekete-ss-110-3086","https://www.somogyi.hu/product/home-ss-110-szigeteloszalag-10-m-fekete-ss-110-3086")</f>
        <v>0.0</v>
      </c>
      <c r="E1879" s="7" t="n">
        <f>HYPERLINK("https://www.somogyi.hu/data/img/product_main_images/small/03086.jpg","https://www.somogyi.hu/data/img/product_main_images/small/03086.jpg")</f>
        <v>0.0</v>
      </c>
      <c r="F1879" s="2" t="inlineStr">
        <is>
          <t>5998312734100</t>
        </is>
      </c>
      <c r="G1879" s="4" t="inlineStr">
        <is>
          <t>Egy megbízható szigetelőszalagot keres, amely szinte minden elektronikai projektben megállja a helyét? A Home SS 110 szigetelőszalag kiváló választás azok számára, akik egy univerzális, tartós és hatékony szigetelési megoldást keresnek otthoni vagy professzionális használatra.
Ez a fekete szigetelőszalag 10 méter hosszúságú, 19 mm szélességű és 0,13 mm vastagságú, ideális méretekkel rendelkezik ahhoz, hogy széles körű alkalmazási lehetőségeket biztosítson. Legyen szó általános elektromos szigetelési munkákról, vezetékek javításáról vagy összekötéséről, a Home SS 110 minden szituációban megbízható teljesítményt nyújt.
Vastagságát tekintve ez a szigetelőszalag elegendően erős ahhoz, hogy hatékonyan ellenálljon a mechanikai sérüléseknek, miközben rugalmassága lehetővé teszi, hogy szűk vagy nehezen hozzáférhető helyekre is könnyedén felhelyezhető legyen. A kiváló minőségű ragasztóréteg biztosítja, hogy a szalag hosszú távon is a helyén maradjon.
Válassza a Home SS 110 szigetelőszalagot, és biztosítsa elektromos berendezéseinek és vezetékeinek a legmagasabb szintű védelmet.</t>
        </is>
      </c>
    </row>
    <row r="1880">
      <c r="A1880" s="3" t="inlineStr">
        <is>
          <t>SS 510</t>
        </is>
      </c>
      <c r="B1880" s="2" t="inlineStr">
        <is>
          <t>Home SS 510 szigetelőszalag, 10 m, fehér</t>
        </is>
      </c>
      <c r="C1880" s="1" t="n">
        <v>279.0</v>
      </c>
      <c r="D1880" s="7" t="n">
        <f>HYPERLINK("https://www.somogyi.hu/product/home-ss-510-szigeteloszalag-10-m-feher-ss-510-3090","https://www.somogyi.hu/product/home-ss-510-szigeteloszalag-10-m-feher-ss-510-3090")</f>
        <v>0.0</v>
      </c>
      <c r="E1880" s="7" t="n">
        <f>HYPERLINK("https://www.somogyi.hu/data/img/product_main_images/small/03090.jpg","https://www.somogyi.hu/data/img/product_main_images/small/03090.jpg")</f>
        <v>0.0</v>
      </c>
      <c r="F1880" s="2" t="inlineStr">
        <is>
          <t>5998312734148</t>
        </is>
      </c>
      <c r="G1880" s="4" t="inlineStr">
        <is>
          <t>Egy megbízható szigetelőszalagot keres, amely szinte minden elektronikai projektben megállja a helyét? A Home SS 510 szigetelőszalag kiváló választás azok számára, akik egy univerzális, tartós és hatékony szigetelési megoldást keresnek otthoni vagy professzionális használatra.
Ez a fehér szigetelőszalag 10 méter hosszúságú, 19 mm szélességű és 0,13 mm vastagságú, ideális méretekkel rendelkezik ahhoz, hogy széles körű alkalmazási lehetőségeket biztosítson. Legyen szó általános elektromos szigetelési munkákról, vezetékek javításáról vagy összekötéséről, a Home SS 510 minden szituációban megbízható teljesítményt nyújt.
Vastagságát tekintve ez a szigetelőszalag elegendően erős ahhoz, hogy hatékonyan ellenálljon a mechanikai sérüléseknek, miközben rugalmassága lehetővé teszi, hogy szűk vagy nehezen hozzáférhető helyekre is könnyedén felhelyezhető legyen. A kiváló minőségű ragasztóréteg biztosítja, hogy a szalag hosszú távon is a helyén maradjon.
Válassza a Home SS 510 szigetelőszalagot, és biztosítsa elektromos berendezéseinek és vezetékeinek a legmagasabb szintű védelmet.</t>
        </is>
      </c>
    </row>
    <row r="1881">
      <c r="A1881" s="3" t="inlineStr">
        <is>
          <t>RS 52/10</t>
        </is>
      </c>
      <c r="B1881" s="2" t="inlineStr">
        <is>
          <t>Home RS 52/10 kétoldalas ragasztószalag, 10 m</t>
        </is>
      </c>
      <c r="C1881" s="1" t="n">
        <v>1250.0</v>
      </c>
      <c r="D1881" s="7" t="n">
        <f>HYPERLINK("https://www.somogyi.hu/product/home-rs-52-10-ketoldalas-ragasztoszalag-10-m-rs-52-10-13757","https://www.somogyi.hu/product/home-rs-52-10-ketoldalas-ragasztoszalag-10-m-rs-52-10-13757")</f>
        <v>0.0</v>
      </c>
      <c r="E1881" s="7" t="n">
        <f>HYPERLINK("https://www.somogyi.hu/data/img/product_main_images/small/13757.jpg","https://www.somogyi.hu/data/img/product_main_images/small/13757.jpg")</f>
        <v>0.0</v>
      </c>
      <c r="F1881" s="2" t="inlineStr">
        <is>
          <t>8001814188870</t>
        </is>
      </c>
      <c r="G1881" s="4" t="inlineStr">
        <is>
          <t>Szüksége van egy ragasztószalagra, ami mindkét oldalán erősen tapad? A Home RS 52/10 kétoldalas ragasztószalag a tökéletes választás azok számára, akik egy megbízható, sokoldalú és erős ragasztási megoldást keresnek otthoni, irodai vagy ipari használatra.
Ez a kiváló minőségű kétoldalas ragasztószalag rendkívül erős tapadási képességgel rendelkezik, így kiválóan alkalmas különféle felületek összetapasztására, legyen szó papírról, fáról, műanyagról, üvegről vagy fémről. Az 50mm szélesség és a 10m hosszúság elegendő anyagot biztosít számos projekt és javítási munka elvégzéséhez, miközben a szalag vastagsága garantálja a tartósságot és az erős kötést.
A Home RS 52/10 ragasztószalag használata egyszerű és tiszta, nem igényel speciális eszközöket vagy előkészületeket, és hagyományos ollóval könnyedén méretre szabható. Az erős tapadás mellett ez a kétoldalas ragasztószalag rugalmasságot is kínál, lehetővé téve, hogy kreatívan alkalmazza a különféle feladatokban.
Bízza a nehéz ragasztási feladatokat a Home RS 52/10 kétoldalas ragasztószalagra.</t>
        </is>
      </c>
    </row>
    <row r="1882">
      <c r="A1882" s="6" t="inlineStr">
        <is>
          <t xml:space="preserve">   Mérés, szerszám, forrasztás / Kenőanyag, tisztítóanyag</t>
        </is>
      </c>
      <c r="B1882" s="6" t="inlineStr">
        <is>
          <t/>
        </is>
      </c>
      <c r="C1882" s="6" t="inlineStr">
        <is>
          <t/>
        </is>
      </c>
      <c r="D1882" s="6" t="inlineStr">
        <is>
          <t/>
        </is>
      </c>
      <c r="E1882" s="6" t="inlineStr">
        <is>
          <t/>
        </is>
      </c>
      <c r="F1882" s="6" t="inlineStr">
        <is>
          <t/>
        </is>
      </c>
      <c r="G1882" s="6" t="inlineStr">
        <is>
          <t/>
        </is>
      </c>
    </row>
    <row r="1883">
      <c r="A1883" s="3" t="inlineStr">
        <is>
          <t>TE01411 (MK T600)</t>
        </is>
      </c>
      <c r="B1883" s="2" t="inlineStr">
        <is>
          <t>Home TE01411 (MK T600) precíziós kontakttisztító spray, 300 ml</t>
        </is>
      </c>
      <c r="C1883" s="1" t="n">
        <v>3590.0</v>
      </c>
      <c r="D1883" s="7" t="n">
        <f>HYPERLINK("https://www.somogyi.hu/product/home-te01411-mk-t600-precizios-kontakttisztito-spray-300-ml-te01411-mk-t600-2484","https://www.somogyi.hu/product/home-te01411-mk-t600-precizios-kontakttisztito-spray-300-ml-te01411-mk-t600-2484")</f>
        <v>0.0</v>
      </c>
      <c r="E1883" s="7" t="n">
        <f>HYPERLINK("https://www.somogyi.hu/data/img/product_main_images/small/02484.jpg","https://www.somogyi.hu/data/img/product_main_images/small/02484.jpg")</f>
        <v>0.0</v>
      </c>
      <c r="F1883" s="2" t="inlineStr">
        <is>
          <t>5997074514111</t>
        </is>
      </c>
      <c r="G1883" s="4" t="inlineStr">
        <is>
          <t>Vajon képes lehet egyetlen spray megóvni az érzékeny elektronikai berendezéseit a meghibásodástól? A Home TE01411 (MK T600) precíziós kontakttisztító sprayt pontosan erre tervezték. 
Ez a 300 ml-es kiszerelésű tisztítószer ideális a nagy érzékenységű elektromos készülékek, híradástechnikai eszközök és ipari berendezések tisztítására, maradékanyagok nélküli, gyors száradást garantálva.
A Home TE01411 (MK T600) nemcsak tisztítja a kontaktokat, hanem meghosszabbítja az eszközök élettartamát is, ezzel segítve Önt a karbantartási költségek csökkentésében. A spray hatékonyan távolítja el az oxidációt és a szennyeződéseket, miközben azonnal párolog, így nem hagy nyomot az alkalmazott felületeken. Az egyszerű használat lehetővé teszi, hogy bárki professzionális eredményeket érhessen el a napi karbantartás során.
Védelmezze híradástechnikai eszközeit, laboratóriumi és ipari készülékeit a Home TE01411 (MK T600) precíziós kontakttisztító spray segítségével, és biztosíthatja azok hosszú távú, megbízható működését.</t>
        </is>
      </c>
    </row>
    <row r="1884">
      <c r="A1884" s="3" t="inlineStr">
        <is>
          <t>TE02298</t>
        </is>
      </c>
      <c r="B1884" s="2" t="inlineStr">
        <is>
          <t>Prevent TE02298 száraz folttisztító aeroszol, 200 ml</t>
        </is>
      </c>
      <c r="C1884" s="1" t="n">
        <v>3390.0</v>
      </c>
      <c r="D1884" s="7" t="n">
        <f>HYPERLINK("https://www.somogyi.hu/product/prevent-te02298-szaraz-folttisztito-aeroszol-200-ml-te02298-19172","https://www.somogyi.hu/product/prevent-te02298-szaraz-folttisztito-aeroszol-200-ml-te02298-19172")</f>
        <v>0.0</v>
      </c>
      <c r="E1884" s="7" t="n">
        <f>HYPERLINK("https://www.somogyi.hu/data/img/product_main_images/small/19172.jpg","https://www.somogyi.hu/data/img/product_main_images/small/19172.jpg")</f>
        <v>0.0</v>
      </c>
      <c r="F1884" s="2" t="inlineStr">
        <is>
          <t>5997074522987</t>
        </is>
      </c>
      <c r="G1884" s="4" t="inlineStr">
        <is>
          <t>Hogyan varázsolhatja újjá ruháit és otthonát a makacs foltok eltávolításával?
A Prevent TE02298 száraz folttisztító aeroszol egyedülálló megoldást kínál a zsír- és olajfoltok gyors, vízmentes eltüntetésére. Legyen szó kárpitról, ruházatról, tapétáról vagy akár fontos iratairól, ez a termék hatékonyan és gyűrődésmentesen tisztít, miközben megőrzi az anyagok eredeti állapotát.
Hatékony folttisztítás minden helyzetben, széleskörű alkalmazási lehetőségek 
A Prevent TE02298 száraz folttisztító aeroszol alkalmas:
- Kárpitok és üléshuzatok tisztítására, hogy autója és otthona mindig makulátlan legyen.
- Ruházat foltmentesítésére, hogy kedvenc darabjai megőrizzék hibátlan megjelenésüket.
- Tapéták és papírok tisztítására, gyűrődés vagy rongálódás nélkül eltávolítva a nemkívánatos szennyeződéseket.
Gyors és hatékony tisztítás víz nélkül 
Ez az aeroszol kifejezetten zsír- és olajfoltok eltávolítására készült, lehetővé téve a gyors beavatkozást bármilyen anyagon. A vízmentes tisztítás előnye, hogy az érzékeny felületek és anyagok is sérülés nélkül tisztíthatók.
Egyszerű használat és praktikus megoldás
A 200 ml-es kiszerelés ideális otthoni és útközbeni használatra is, hiszen kompakt méretének köszönhetően könnyen tárolható és hordozható. A spray formátum lehetővé teszi a pontos alkalmazást, így a tisztítószer közvetlenül a problémás területre irányítható, minimalizálva a pazarlást.
Miért válassza a Prevent TE02298 száraz folttisztító aeroszolt?
- Hatékonyan eltávolítja a zsír- és olajfoltokat textíliáról, kárpitról, tapétáról és papírról.
- Víz nélküli tisztítást biztosít, amely kíméletes az anyagokkal szemben.
- Gyors és egyszerű használatot kínál, gyűrődés vagy károsodás nélkül.
- Kompakt, 200 ml-es kiszerelése praktikus és könnyen kezelhető.
Ne hagyja, hogy a foltok elrontsák a kedvenc ruháját vagy otthona megjelenését! Válassza a Prevent TE02298 száraz folttisztító aeroszolt, és élvezze a tökéletes tisztaságot minden helyzetben!</t>
        </is>
      </c>
    </row>
    <row r="1885">
      <c r="A1885" s="3" t="inlineStr">
        <is>
          <t>TE02094</t>
        </is>
      </c>
      <c r="B1885" s="2" t="inlineStr">
        <is>
          <t>Prevent TE02094 kontakt tisztító aeroszol, 300 ml</t>
        </is>
      </c>
      <c r="C1885" s="1" t="n">
        <v>4090.0</v>
      </c>
      <c r="D1885" s="7" t="n">
        <f>HYPERLINK("https://www.somogyi.hu/product/prevent-te02094-kontakt-tisztito-aeroszol-300-ml-te02094-19169","https://www.somogyi.hu/product/prevent-te02094-kontakt-tisztito-aeroszol-300-ml-te02094-19169")</f>
        <v>0.0</v>
      </c>
      <c r="E1885" s="7" t="n">
        <f>HYPERLINK("https://www.somogyi.hu/data/img/product_main_images/small/19169.jpg","https://www.somogyi.hu/data/img/product_main_images/small/19169.jpg")</f>
        <v>0.0</v>
      </c>
      <c r="F1885" s="2" t="inlineStr">
        <is>
          <t>5997074520945</t>
        </is>
      </c>
      <c r="G1885" s="4" t="inlineStr">
        <is>
          <t>Hogyan biztosíthatja elektromos berendezései megbízható működését és hosszú élettartamát?
A Prevent TE02094 kontakt tisztító aeroszol tökéletes megoldást nyújt az elektromos érintkezők és alkatrészek tisztítására, hatékonyan eltávolítva a zsíros, olajos, viaszos és egyéb szennyeződéseket. Ezáltal elősegíti a zavartalan elektromos kontaktust és minimalizálja a meghibásodás kockázatát.
Sokoldalú és hatékony tisztítás
A Prevent TE02094 kontakt tisztító aeroszolt kifejezetten az elektromos és elektronikus berendezések érzékeny részeinek tisztítására tervezték. Használható:
- Elektromotorokban és generátorokban, hogy eltávolítsa a működés során keletkező szennyeződéseket.
- Töltőberendezésekben és biztosítékokban, ahol a tiszta érintkezők biztosítják az optimális működést.
- Relékben, transzformátorokban és jelzőeszközökben, hogy elkerülhető legyen a kapcsolódási problémák okozta meghibásodás.
- Mérő- és egyéb elektromos berendezések érintkezőiben, ahol a precizitás és a megbízhatóság elengedhetetlen.
Hatékony szennyeződés-eltávolítás
Ez az aeroszol gyorsan és alaposan megszünteti a zsíros, olajos és viaszos rétegeket, amelyek akadályozhatják az elektromos áram zavartalan áramlását. A Prevent TE02094 használatával a kapcsolódási pontok újra tiszták és hatékonyak lesznek.
Miért válassza a Prevent TE02094 kontakt tisztító aeroszolt?
- Kifejezetten elektromos érintkezők és alkatrészek tisztítására készült.
- Hatékonyan eltávolítja a zsíros, olajos és egyéb szennyeződéseket.
- Segít megelőzni a meghibásodásokat és növeli a berendezések élettartamát.
- Ideális megoldás otthoni és ipari alkalmazásokhoz is.
Ne hagyja, hogy a szennyeződések akadályozzák elektromos berendezései teljesítményét! Válassza a Prevent TE02094 kontakt tisztító aeroszolt, és biztosítsa készülékei hatékony működését egyszerűen és gyorsan!</t>
        </is>
      </c>
    </row>
    <row r="1886">
      <c r="A1886" s="3" t="inlineStr">
        <is>
          <t>TE02299</t>
        </is>
      </c>
      <c r="B1886" s="2" t="inlineStr">
        <is>
          <t>Prevent TE02299 ragasztó és matrica eltávolító aeroszol, 200 ml</t>
        </is>
      </c>
      <c r="C1886" s="1" t="n">
        <v>3690.0</v>
      </c>
      <c r="D1886" s="7" t="n">
        <f>HYPERLINK("https://www.somogyi.hu/product/prevent-te02299-ragaszto-es-matrica-eltavolito-aeroszol-200-ml-te02299-19173","https://www.somogyi.hu/product/prevent-te02299-ragaszto-es-matrica-eltavolito-aeroszol-200-ml-te02299-19173")</f>
        <v>0.0</v>
      </c>
      <c r="E1886" s="7" t="n">
        <f>HYPERLINK("https://www.somogyi.hu/data/img/product_main_images/small/19173.jpg","https://www.somogyi.hu/data/img/product_main_images/small/19173.jpg")</f>
        <v>0.0</v>
      </c>
      <c r="F1886" s="2" t="inlineStr">
        <is>
          <t>5997074522994</t>
        </is>
      </c>
      <c r="G1886" s="4" t="inlineStr">
        <is>
          <t>Hogyan távolíthatja el a makacs matrica- és ragasztómaradványokat sérülés nélkül?
A Prevent TE02299 ragasztó és matrica eltávolító aeroszol hatékony megoldást nyújt a ragacsos szennyeződések, matricák és címkék eltávolítására, miközben megőrzi a tisztítandó felület épségét. Legyen szó szélvédőről, karosszériáról vagy más sima felületről, ezzel a termékkel könnyedén és gyorsan érheti el a tökéletes tisztaságot.
Hatékony tisztítás sérülésmentesen, sokoldalú felhasználás
- Papír- és műanyag alapú matricák eltávolítására, így autója vagy egyéb tárgyai makulátlanul tiszták lesznek.
- Címkék és ragasztószalag-maradványok eltávolítására, hogy búcsút intsen a kellemetlen ragacsos foltoknak.
- Szélvédő és karosszéria tisztítására, sérülés vagy karcolás nélkül.
Gyors és egyszerű alkalmazás 
A termék hatékony formulájának köszönhetően a ragasztómaradványok könnyen fellazulnak, így egyszerűen eltávolíthatók. Az aeroszol pontosan alkalmazható, minimalizálva a pazarlást és gyorsítva a tisztítási folyamatot.
Praktikus és megbízható kialakítás
A 200 ml-es kiszerelés ideális otthoni és útközbeni használatra, könnyen tárolható és mindig kéznél van, amikor szüksége van rá. Az aeroszol formátum lehetővé teszi a nehezen hozzáférhető helyek tisztítását is, így az eredmény minden esetben tökéletes lesz.
Miért válassza a Prevent TE02299 ragasztó és matrica eltávolító aeroszolt?
- Hatékonyan eltávolítja a makacs matricákat és ragasztómaradványokat.
- Kíméletes a felületekhez, sérülésmentes tisztítást biztosít.
- Autók, bútorok és egyéb tárgyak tisztítására egyaránt alkalmas.
- Praktikus, 200 ml-es kiszerelésben kapható, amely gazdaságos és hosszú távon is elegendő.
Ne hagyja, hogy a ragacsos foltok megnehezítsék a mindennapjait! Válassza a Prevent TE02299 ragasztó és matrica eltávolító aeroszolt, és élvezze a tökéletesen tiszta felületeket minden használat után!</t>
        </is>
      </c>
    </row>
    <row r="1887">
      <c r="A1887" s="3" t="inlineStr">
        <is>
          <t>290505</t>
        </is>
      </c>
      <c r="B1887" s="2" t="inlineStr">
        <is>
          <t>MOTIP 290505 kontakttisztító spray, 200 ml</t>
        </is>
      </c>
      <c r="C1887" s="1" t="n">
        <v>2590.0</v>
      </c>
      <c r="D1887" s="7" t="n">
        <f>HYPERLINK("https://www.somogyi.hu/product/motip-290505-kontakttisztito-spray-200-ml-290505-16411","https://www.somogyi.hu/product/motip-290505-kontakttisztito-spray-200-ml-290505-16411")</f>
        <v>0.0</v>
      </c>
      <c r="E1887" s="7" t="n">
        <f>HYPERLINK("https://www.somogyi.hu/data/img/product_main_images/small/16411.jpg","https://www.somogyi.hu/data/img/product_main_images/small/16411.jpg")</f>
        <v>0.0</v>
      </c>
      <c r="F1887" s="2" t="inlineStr">
        <is>
          <t>8711347235995</t>
        </is>
      </c>
      <c r="G1887" s="4" t="inlineStr">
        <is>
          <t>Kíváncsi arra, hogyan őrizheti meg elektromos csatlakozói tökéletes állapotát? A MOTIP 290505 kontakttisztító spray ideális megoldás a nagyon érzékeny elektromos csatlakozók, például gépkocsik, kapcsoló relék, műszerfalak és riasztóberendezések tisztítására.
Ez a 200 ml-es spray hatékonyan távolítja el a szennyeződéseket, zsírokat és oxidációt, anélkül, hogy károsítaná a finom elektromos alkatrészeket. A speciális formula gyorsan szárad, nem hagy maradványokat, és biztosítja a zavartalan működést. A MOTIP 290505 egyaránt használható professzionális és otthoni környezetben, garantálva a hosszú távú megbízhatóságot és teljesítményt.
Válassza a MOTIP 290505 kontakttisztító sprayt, és biztosítsa elektromos rendszerei tisztaságát és hatékonyságát minden helyzetben!</t>
        </is>
      </c>
    </row>
    <row r="1888">
      <c r="A1888" s="3" t="inlineStr">
        <is>
          <t>W 330</t>
        </is>
      </c>
      <c r="B1888" s="2" t="inlineStr">
        <is>
          <t>Home W 330 szerelőzsír, 160°, 300 ml</t>
        </is>
      </c>
      <c r="C1888" s="1" t="n">
        <v>2290.0</v>
      </c>
      <c r="D1888" s="7" t="n">
        <f>HYPERLINK("https://www.somogyi.hu/product/home-w-330-szerelozsir-160-300-ml-w-330-3174","https://www.somogyi.hu/product/home-w-330-szerelozsir-160-300-ml-w-330-3174")</f>
        <v>0.0</v>
      </c>
      <c r="E1888" s="7" t="n">
        <f>HYPERLINK("https://www.somogyi.hu/data/img/product_main_images/small/03174.jpg","https://www.somogyi.hu/data/img/product_main_images/small/03174.jpg")</f>
        <v>0.0</v>
      </c>
      <c r="F1888" s="2" t="inlineStr">
        <is>
          <t>5998312734988</t>
        </is>
      </c>
      <c r="G1888" s="4" t="inlineStr">
        <is>
          <t>Egy megbízható kenőzsírt keres, amely megfelel az élelmiszeripari tisztasági követelményeknek és ellenáll a magas hőmérsékleteknek? A Home W 330 szerelőzsír pontosan ilyen: egy 160 °C-ig hőálló élelmiszeripari tisztaságú kenőzsír, amely kiválóan alkalmas a legkülönbözőbb ipari és otthoni alkalmazásokhoz.
Ez a különleges szerelőzsír ideális választás csapágyak, csúszó, mozgó és súrlódó alkatrészek, valamint láncok kenésére. Nem csak hogy csökkenti a súrlódást és elősegíti a simább működést, de korrózió elleni védelmet is nyújt, meghosszabbítva ezzel az alkatrészek élettartamát. A 300ml-es kiszerelés biztosítja, hogy elegendő zsír álljon rendelkezésre még a nagyobb projektekhez is.
A Home W 330 szerelőzsír nemcsak az ipari felhasználók számára jelent megoldást, hanem azok számára is, akik otthon szerelnek vagy karbantartanak élelmiszerrel érintkező gépeket és eszközöket, hiszen megfelel az élelmiszeripari tisztasági előírásoknak. Ez a kenőzsír biztonságosan használható olyan környezetben, ahol az élelmiszerbiztonság kulcsfontosságú.
Tegye zökkenőmentessé és hosszú távúvá gépei és eszközei működését a Home W 330 szerelőzsírral.</t>
        </is>
      </c>
    </row>
    <row r="1889">
      <c r="A1889" s="3" t="inlineStr">
        <is>
          <t>TE01409 (MK K60)</t>
        </is>
      </c>
      <c r="B1889" s="2" t="inlineStr">
        <is>
          <t>Home TE01409 (MK K60) kontakttisztító spray, 300 ml</t>
        </is>
      </c>
      <c r="C1889" s="1" t="n">
        <v>3590.0</v>
      </c>
      <c r="D1889" s="7" t="n">
        <f>HYPERLINK("https://www.somogyi.hu/product/home-te01409-mk-k60-kontakttisztito-spray-300-ml-te01409-mk-k60-2482","https://www.somogyi.hu/product/home-te01409-mk-k60-kontakttisztito-spray-300-ml-te01409-mk-k60-2482")</f>
        <v>0.0</v>
      </c>
      <c r="E1889" s="7" t="n">
        <f>HYPERLINK("https://www.somogyi.hu/data/img/product_main_images/small/02482.jpg","https://www.somogyi.hu/data/img/product_main_images/small/02482.jpg")</f>
        <v>0.0</v>
      </c>
      <c r="F1889" s="2" t="inlineStr">
        <is>
          <t>5997074514098</t>
        </is>
      </c>
      <c r="G1889" s="4" t="inlineStr">
        <is>
          <t>Zavarja az elektronikai berendezések a szennyeződések miatti megbízhatatlansága? A Home TE01409 (MK K60) kontakttisztító spray a megoldás, amelyre szüksége van. 
Ez a 300 ml-es kiszerelésű, erőteljes hatékonyságú tisztítóspray kifejezetten az erősen szennyezett elektronikai berendezések, mint például kapcsolók, relék, potenciométerek és mindenfajta kontaktusok tisztítására lett tervezve.
A Home TE01409 (MK K60) nem csak tisztít, hanem meghosszabbítja elektronikai berendezései élettartamát is, megelőzve a korai meghibásodásokat és javítva azok teljesítményét. Az alkalmazása egyszerű és kényelmes, köszönhetően a precízen tervezett szórófejnek, amely lehetővé teszi a tisztítószer célzott és gazdaságos felvitelét, még a nehezen hozzáférhető helyeken is.
Ne hagyja, hogy a szennyeződések befolyásolják elektronikai eszközei teljesítményét. Használja a Home TE01409 (MK K60) kontakttisztító spray-t a tiszta és zavartalan működés érdekében.</t>
        </is>
      </c>
    </row>
    <row r="1890">
      <c r="A1890" s="3" t="inlineStr">
        <is>
          <t>TK 460/200</t>
        </is>
      </c>
      <c r="B1890" s="2" t="inlineStr">
        <is>
          <t>Home TK 460/200 kontakttisztító spray, 200 ml</t>
        </is>
      </c>
      <c r="C1890" s="1" t="n">
        <v>2390.0</v>
      </c>
      <c r="D1890" s="7" t="n">
        <f>HYPERLINK("https://www.somogyi.hu/product/home-tk-460-200-kontakttisztito-spray-200-ml-tk-460-200-18272","https://www.somogyi.hu/product/home-tk-460-200-kontakttisztito-spray-200-ml-tk-460-200-18272")</f>
        <v>0.0</v>
      </c>
      <c r="E1890" s="7" t="n">
        <f>HYPERLINK("https://www.somogyi.hu/data/img/product_main_images/small/18272.jpg","https://www.somogyi.hu/data/img/product_main_images/small/18272.jpg")</f>
        <v>0.0</v>
      </c>
      <c r="F1890" s="2" t="inlineStr">
        <is>
          <t>5997539300433</t>
        </is>
      </c>
      <c r="G1890" s="4" t="inlineStr">
        <is>
          <t>A 200 ml-es TK 460 egy professzionális kontakt tisztítószer, amely kifejezetten az elektromos érintkezések oxidmentesítésére és a vezetőképesség visszaállítására szolgál. A TK 460 egy kémiailag aktív olaj tartalmú szer. Válassza a minőségi termékeket és rendeljen webáruházunkból.</t>
        </is>
      </c>
    </row>
    <row r="1891">
      <c r="A1891" s="3" t="inlineStr">
        <is>
          <t>TE01684 (MK 1684)</t>
        </is>
      </c>
      <c r="B1891" s="2" t="inlineStr">
        <is>
          <t>Home TE01684 (MK 1684) sűrített levegő spray, 300 ml</t>
        </is>
      </c>
      <c r="C1891" s="1" t="n">
        <v>3590.0</v>
      </c>
      <c r="D1891" s="7" t="n">
        <f>HYPERLINK("https://www.somogyi.hu/product/home-te01684-mk-1684-suritett-levego-spray-300-ml-te01684-mk-1684-7206","https://www.somogyi.hu/product/home-te01684-mk-1684-suritett-levego-spray-300-ml-te01684-mk-1684-7206")</f>
        <v>0.0</v>
      </c>
      <c r="E1891" s="7" t="n">
        <f>HYPERLINK("https://www.somogyi.hu/data/img/product_main_images/small/07206.jpg","https://www.somogyi.hu/data/img/product_main_images/small/07206.jpg")</f>
        <v>0.0</v>
      </c>
      <c r="F1891" s="2" t="inlineStr">
        <is>
          <t>5997074516849</t>
        </is>
      </c>
      <c r="G1891" s="4" t="inlineStr">
        <is>
          <t>Feltűnt már, hogy a számítógépe hűtőbordái vagy a klaviatúra közötti rések tele vannak porral? A Home TEO1684 (MK 1684) sűrített levegő spray-t pont ezekre a nehezen hozzáférhető helyekre tervezték. 
A 300 ml-es kiszerelésű, erős fúvású spray kiválóan alkalmas elektromos és elektronikai berendezések, például számítógépek, klaviatúrák és audió-videó készülékek tisztítására, anélkül, hogy fizikailag hozzáérnénk a kényes alkatrészekhez. A Home TEO1684 (MK 1684) használata rendkívül egyszerű és biztonságos. A spray száraz, sűrített levegője nem hagy folyadéknyomot, így ideális olyan eszközök portalanítására, ahol a nedvesség károsíthatná a belső komponenseket. A kiszerelés kényelmes fogású, így az irányított légáram pontosan oda juttatható, ahol a legnagyobb szükség van rá.
Ne hagyja, hogy a por és a szennyeződések rontsák berendezései teljesítményét és élettartamát. Használja a Home TEO1684 (MK 1684) sűrített levegő spray-t a gyors és hatékony portalanításhoz.</t>
        </is>
      </c>
    </row>
    <row r="1892">
      <c r="A1892" s="3" t="inlineStr">
        <is>
          <t>TE01410 (MK K61)</t>
        </is>
      </c>
      <c r="B1892" s="2" t="inlineStr">
        <is>
          <t>Home TE01410 (MK K61) kontakttisztító és kenőspray, 300 ml</t>
        </is>
      </c>
      <c r="C1892" s="1" t="n">
        <v>3590.0</v>
      </c>
      <c r="D1892" s="7" t="n">
        <f>HYPERLINK("https://www.somogyi.hu/product/home-te01410-mk-k61-kontakttisztito-es-kenospray-300-ml-te01410-mk-k61-2483","https://www.somogyi.hu/product/home-te01410-mk-k61-kontakttisztito-es-kenospray-300-ml-te01410-mk-k61-2483")</f>
        <v>0.0</v>
      </c>
      <c r="E1892" s="7" t="n">
        <f>HYPERLINK("https://www.somogyi.hu/data/img/product_main_images/small/02483.jpg","https://www.somogyi.hu/data/img/product_main_images/small/02483.jpg")</f>
        <v>0.0</v>
      </c>
      <c r="F1892" s="2" t="inlineStr">
        <is>
          <t>5997074514104</t>
        </is>
      </c>
      <c r="G1892" s="4" t="inlineStr">
        <is>
          <t>Egy univerzális megoldást keres elektronikai eszközei karbantartására? A Home TE01410 (MK K61) kontakttisztító és kenőspray az, amire Önnek szüksége van. 
Ez a kettő az egyben megoldás, 300 ml-es kiszerelésben, nem csupán erősen szennyezett elektronikai berendezések tisztítására alkalmas, hanem azok kenését is biztosítja, így hosszabbítva meg az eszközök élettartamát. A Home TE01410 (MK K61) különleges formulája lehetővé teszi, hogy egy lépésben távolítsa el a szennyeződéseket és a korroziónak kitett felületeket, miközben egy vékony, védő kenőréteget hagy maga után. Ez a réteg csökkenti a súrlódást és megakadályozza az újabb szennyeződések lerakódását, ezáltal javítva a berendezések teljesítményét és megbízhatóságát. Az alkalmazás egyszerűsége révén, a precízen tervezett szórófejjel, a Home TE01410 (MK K61) tökéletes választás mindazok számára, akik gyors és hatékony megoldást keresnek elektronikai berendezéseik karbantartására. Legyen szó szakmai vagy otthoni használatról, ez a spray biztosítja az optimális eredményt.
Ne engedje, hogy a szennyeződések és a kopás csökkentsék eszközei élettartamát. Használja a Home TE01410 (MK K61) kontakttisztító és kenőspray-t, és biztosítsa elektronikai berendezései hosszú távú védelmét és zavartalan működését.</t>
        </is>
      </c>
    </row>
    <row r="1893">
      <c r="A1893" s="6" t="inlineStr">
        <is>
          <t xml:space="preserve">   Mérés, szerszám, forrasztás / TRUE UTILITY</t>
        </is>
      </c>
      <c r="B1893" s="6" t="inlineStr">
        <is>
          <t/>
        </is>
      </c>
      <c r="C1893" s="6" t="inlineStr">
        <is>
          <t/>
        </is>
      </c>
      <c r="D1893" s="6" t="inlineStr">
        <is>
          <t/>
        </is>
      </c>
      <c r="E1893" s="6" t="inlineStr">
        <is>
          <t/>
        </is>
      </c>
      <c r="F1893" s="6" t="inlineStr">
        <is>
          <t/>
        </is>
      </c>
      <c r="G1893" s="6" t="inlineStr">
        <is>
          <t/>
        </is>
      </c>
    </row>
    <row r="1894">
      <c r="A1894" s="3" t="inlineStr">
        <is>
          <t>TU921</t>
        </is>
      </c>
      <c r="B1894" s="2" t="inlineStr">
        <is>
          <t>True Utility Keyshackle, TU921, 7 in 1, multifunkcionális szerszám, csavarhúzó, fekete titániumbevonatú karabiner , valódi bőr</t>
        </is>
      </c>
      <c r="C1894" s="1" t="n">
        <v>3590.0</v>
      </c>
      <c r="D1894" s="7" t="n">
        <f>HYPERLINK("https://www.somogyi.hu/product/true-utility-keyshackle-tu921-7-in-1-multifunkcionalis-szerszam-csavarhuzo-fekete-titaniumbevonatu-karabiner-valodi-bor-tu921-17445","https://www.somogyi.hu/product/true-utility-keyshackle-tu921-7-in-1-multifunkcionalis-szerszam-csavarhuzo-fekete-titaniumbevonatu-karabiner-valodi-bor-tu921-17445")</f>
        <v>0.0</v>
      </c>
      <c r="E1894" s="7" t="n">
        <f>HYPERLINK("https://www.somogyi.hu/data/img/product_main_images/small/17445.jpg","https://www.somogyi.hu/data/img/product_main_images/small/17445.jpg")</f>
        <v>0.0</v>
      </c>
      <c r="F1894" s="2" t="inlineStr">
        <is>
          <t>5060063227290</t>
        </is>
      </c>
      <c r="G1894" s="4" t="inlineStr">
        <is>
          <t>Ez a termék egy kulcsrendező multitool eszköz, amely 2-4 kulcs elrendezésére szolgál. A biztonságos félgyűrűnek köszönhetően, pillanatok alatt cserélhetőek a kulcsok.
Egy valódi bőrből készült karabíneres kulcstartó és multifunkciós szerszám is egyben, amely 7 funkciót lát el:
kicsi/közepes/nagy laposfejű csavarhúzó, kábelcsupaszoló és vágó, körömtisztító, sörnyitó, reszelő • 2-4 kulcs rözítésére alkalmas • valódi bőr szíj • fekete titánium bevonatos karabíner
Vásároljon minőségi és megbízható termékeket webáruházunkból!</t>
        </is>
      </c>
    </row>
    <row r="1895">
      <c r="A1895" s="3" t="inlineStr">
        <is>
          <t>TU919K</t>
        </is>
      </c>
      <c r="B1895" s="2" t="inlineStr">
        <is>
          <t>True Utility Buttonlite, TU919K, tölthető lámpa, 4 funkció, 47 lm COB LED, Li-ion, rozsdamentes acélváz</t>
        </is>
      </c>
      <c r="C1895" s="1" t="n">
        <v>8190.0</v>
      </c>
      <c r="D1895" s="7" t="n">
        <f>HYPERLINK("https://www.somogyi.hu/product/true-utility-buttonlite-tu919k-toltheto-lampa-4-funkcio-47-lm-cob-led-li-ion-rozsdamentes-acelvaz-tu919k-17453","https://www.somogyi.hu/product/true-utility-buttonlite-tu919k-toltheto-lampa-4-funkcio-47-lm-cob-led-li-ion-rozsdamentes-acelvaz-tu919k-17453")</f>
        <v>0.0</v>
      </c>
      <c r="E1895" s="7" t="n">
        <f>HYPERLINK("https://www.somogyi.hu/data/img/product_main_images/small/17453.jpg","https://www.somogyi.hu/data/img/product_main_images/small/17453.jpg")</f>
        <v>0.0</v>
      </c>
      <c r="F1895" s="2" t="inlineStr">
        <is>
          <t>5060063226545</t>
        </is>
      </c>
      <c r="G1895" s="4" t="inlineStr">
        <is>
          <t>A TU919 egy szupererős fényű mini munkalámpa, amely újratölthető és praktikusan rögzíthető táskára, ingre, nadrághoz, kulcstartóhoz, hogy mindig kéznél legyen.
A LED lámpa 47 lumenes és négy funkciója van: 
statikus fehér / kis fényerejű statikus fehér / statikus piros / villogó piros fény
Az üzemidő akár 20 óra is lehet. 
Alapanyaga fekete titánium bevonatú, 420-as minőségű rozsdamentes acél.
Vásároljon minőségi és megbízható termékeket webáruházunkból!</t>
        </is>
      </c>
    </row>
    <row r="1896">
      <c r="A1896" s="3" t="inlineStr">
        <is>
          <t>TU407K</t>
        </is>
      </c>
      <c r="B1896" s="2" t="inlineStr">
        <is>
          <t>True Utility Turbojet* Firewire, TU407K, vihargyújtó, hagyományos öngyújtógáz, könnyűfém váz</t>
        </is>
      </c>
      <c r="C1896" s="1" t="n">
        <v>7990.0</v>
      </c>
      <c r="D1896" s="7" t="n">
        <f>HYPERLINK("https://www.somogyi.hu/product/true-utility-turbojet-firewire-tu407k-vihargyujto-hagyomanyos-ongyujtogaz-konnyufem-vaz-tu407k-17456","https://www.somogyi.hu/product/true-utility-turbojet-firewire-tu407k-vihargyujto-hagyomanyos-ongyujtogaz-konnyufem-vaz-tu407k-17456")</f>
        <v>0.0</v>
      </c>
      <c r="E1896" s="7" t="n">
        <f>HYPERLINK("https://www.somogyi.hu/data/img/product_main_images/small/17456.jpg","https://www.somogyi.hu/data/img/product_main_images/small/17456.jpg")</f>
        <v>0.0</v>
      </c>
      <c r="F1896" s="2" t="inlineStr">
        <is>
          <t>5060063226514</t>
        </is>
      </c>
      <c r="G1896" s="4" t="inlineStr">
        <is>
          <t>Egy megbízható öngyújtót keres, amely viharos időjárásban is tökéletesen működik? A True Utility Turbojet Firewire TU407K erős és kompakt vihargyújtója minden körülmények között a tökéletes választás.
A True Utility Turbojet Firewire TU407K egy kiemelkedően erőteljes vihargyújtó, amely robusztus kivitelezésének köszönhetően a legzordabb időjárási körülmények között is megbízhatóan használható. A hagyományos öngyújtógázzal tölthető eszköz egykezes működési mechanizmusával egyszerűen és gyorsan gyújthatja meg a lángot, míg a láng erősségének állító funkcióval könnyedén szabályozhatja a láng méretét az igényeinek megfelelően.
Az öngyújtó könnyűfém alapanyagból készült, így nemcsak erős és tartós, hanem könnyen hordozható is. Méretei – 7x2,5x3,5 cm – ideálisak, hogy bármilyen zsebben kényelmesen magával vihesse. A Turbojet Firewire tökéletes társ lesz kempingezéshez, túrázáshoz vagy akár mindennapi használathoz.
Ne hagyja, hogy a rossz idő meghiúsítsa terveit! Válassza a True Utility Turbojet Firewire TU407K vihargyújtót, amely garantáltan nem hagyja cserben.</t>
        </is>
      </c>
    </row>
    <row r="1897">
      <c r="A1897" s="3" t="inlineStr">
        <is>
          <t>TU571K</t>
        </is>
      </c>
      <c r="B1897" s="2" t="inlineStr">
        <is>
          <t>True Utility Skeletonknife, TU571K, 4 cm rozsdamentes acél penge, eloxált alumínium tok, karabiner rögzítési pont, jobb és balkezes</t>
        </is>
      </c>
      <c r="C1897" s="1" t="n">
        <v>5090.0</v>
      </c>
      <c r="D1897" s="7" t="n">
        <f>HYPERLINK("https://www.somogyi.hu/product/true-utility-skeletonknife-tu571k-4-cm-rozsdamentes-acel-penge-eloxalt-aluminium-tok-karabiner-rogzitesi-pont-jobb-es-balkezes-tu571k-17670","https://www.somogyi.hu/product/true-utility-skeletonknife-tu571k-4-cm-rozsdamentes-acel-penge-eloxalt-aluminium-tok-karabiner-rogzitesi-pont-jobb-es-balkezes-tu571k-17670")</f>
        <v>0.0</v>
      </c>
      <c r="E1897" s="7" t="n">
        <f>HYPERLINK("https://www.somogyi.hu/data/img/product_main_images/small/17670.jpg","https://www.somogyi.hu/data/img/product_main_images/small/17670.jpg")</f>
        <v>0.0</v>
      </c>
      <c r="F1897" s="2" t="inlineStr">
        <is>
          <t>5060063227108</t>
        </is>
      </c>
      <c r="G1897" s="4" t="inlineStr">
        <is>
          <t>Hogyan találhat egy olyan kést, amely egyszerre könnyű, tartós és praktikus a mindennapi használatra?
A True Utility Skeletonknife TU571K egy egyedülálló, minimalista kialakítású kés, amely tökéletes választás azok számára, akik a funkcionalitás mellett a stílusos megjelenést is fontosnak tartják. A rögzíthető rozsdamentes acél penge és az eloxált alumínium tok tökéletes kombinációja biztosítja a hosszú élettartamot és a kényelmes használatot akár jobb-, akár balkezesek számára.
Kiváló anyaghasználat és praktikus kialakítás
A Skeletonknife 4 cm hosszú, rozsdamentes acél pengéje éles és ellenálló, így könnyedén megbirkózik a mindennapi feladatokkal. A rögzíthető pengemechanizmus biztonságos használatot garantál, míg az eloxált alumínium tokozáskönnyűvé és strapabíróvá teszi az eszközt. A precízen megtervezett fogás biztosítja, hogy a kés mind jobb-, mind balkezesek számára kényelmesen használható legyen.
Hordozhatóság és sokoldalúság
A kés kialakítása tartalmaz egy praktikus karabiner rögzítési pontot, amely lehetővé teszi, hogy kulcstartóra, táskára vagy övre rögzítse, így mindig kéznél tarthatja. Kompakt méretének és könnyű súlyának köszönhetően nem foglal sok helyet, mégis bármikor készen áll a használatra. Ideális választás kirándulásokhoz, túrákhoz vagy akár mindennapi feladatok elvégzéséhez.
Miért érdemes a True Utility Skeletonknife TU571K-t választani?
- 4 cm-es rozsdamentes acél pengéje garantálja a tartósságot és a precíz vágást
- Rögzíthető pengemechanizmus a biztonságos használat érdekében
- Eloxált alumínium tokozása könnyű, mégis rendkívül ellenálló
- Jobb- és balkezesek számára is kényelmes fogást biztosít
- Karabiner rögzítési ponttal ellátott, így egyszerűen hordozható és mindig kéznél tartható
Ne hagyja, hogy egy nehezen hordozható, kényelmetlen kés akadályozza a mindennapi teendőit! Válassza a True Utility Skeletonknife TU571K-t, és élvezze a praktikumot, a könnyű hordozhatóságot és a stílusos megjelenést egyetlen eszközben!</t>
        </is>
      </c>
    </row>
    <row r="1898">
      <c r="A1898" s="3" t="inlineStr">
        <is>
          <t>TU181</t>
        </is>
      </c>
      <c r="B1898" s="2" t="inlineStr">
        <is>
          <t>True Utility Handyone, TU181, 18 in 1, 7 cm penge, mágneses bitfej tartó, 9 féle bitfej, rozsdamentes acélváz, eluxált alumínium fogantyú</t>
        </is>
      </c>
      <c r="C1898" s="1" t="n">
        <v>14890.0</v>
      </c>
      <c r="D1898" s="7" t="n">
        <f>HYPERLINK("https://www.somogyi.hu/product/true-utility-handyone-tu181-18-in-1-7-cm-penge-magneses-bitfej-tarto-9-fele-bitfej-rozsdamentes-acelvaz-eluxalt-aluminium-fogantyu-tu181-17446","https://www.somogyi.hu/product/true-utility-handyone-tu181-18-in-1-7-cm-penge-magneses-bitfej-tarto-9-fele-bitfej-rozsdamentes-acelvaz-eluxalt-aluminium-fogantyu-tu181-17446")</f>
        <v>0.0</v>
      </c>
      <c r="E1898" s="7" t="n">
        <f>HYPERLINK("https://www.somogyi.hu/data/img/product_main_images/small/17446.jpg","https://www.somogyi.hu/data/img/product_main_images/small/17446.jpg")</f>
        <v>0.0</v>
      </c>
      <c r="F1898" s="2" t="inlineStr">
        <is>
          <t>5060063226958</t>
        </is>
      </c>
      <c r="G1898" s="4" t="inlineStr">
        <is>
          <t>Ön is szereti a multifunkciós, praktikus eszközöket, amelyek minden helyzetben segítségére vannak? Akkor a True Utility Handyone TU181 az, amit keres! Ez a 18 az 1-ben multifunkciós szerszám tökéletes társa lesz bárhol, bármikor.
A True Utility Handyone TU181 egy kompakt, mégis rendkívül sokoldalú kéziszerszám, amely szinte minden szükséges eszközt tartalmaz, amire szüksége lehet. Az ergonomikus kialakítású fogantyú eloxált alumíniumból készült, ami nemcsak tartóssá teszi, de a kezelhetőségét is maximálisan biztosítja. A rozsdamentes acélváz garantálja a szerszám hosszú élettartamát és ellenállóságát.
A Handyone TU181 szerszámok között megtalálható a rugós, rozsdamentes harapófogó, drótvágó, többféle csavarhúzó – lapos és csillagfejű változatokban –, fűrész, sörnyitó, és egy 7 cm hosszúságú fogazott penge. A készlethez tartozik egy mágneses bitfej tartó is, mely 9 különböző bitfejjel van ellátva, beleértve a Phillips, lapos fejű és hatlapfejű bitfejeket, így biztosan minden csavarhoz megtalálja a megfelelőt.
Az eszközt egy praktikus tok egészíti ki, amely nemcsak megkönnyíti a bitfejek tárolását, de segítségével a szerszámot könnyedén magával viheti bárhová. Az összecsukott mérete mindössze 10,8x3,8x2,5 cm, így zsebben, táskában kényelmesen hordozható.
Fedezze fel a True Utility Handyone TU181 multifunkciós szerszám nyújtotta lehetőségeket, legyen szó otthoni munkálatokról, kempingezésről vagy akár autószerelésről. Ne hagyja otthon ezt az univerzális segítőtársat, amely minden helyzetben a segítségére lesz! Rendelje meg most, és élvezze a mindenre kész multifunkciós szerszám előnyeit!</t>
        </is>
      </c>
    </row>
    <row r="1899">
      <c r="A1899" s="3" t="inlineStr">
        <is>
          <t>TRU-MTL-0002-G</t>
        </is>
      </c>
      <c r="B1899" s="2" t="inlineStr">
        <is>
          <t>True Utility Dual Cutter, TRU-MTL-0002-G, 2 in 1, 7 cm tanto penge, rugós olló, rozsdamentes acél penge, eloxált alumínium tok</t>
        </is>
      </c>
      <c r="C1899" s="1" t="n">
        <v>7490.0</v>
      </c>
      <c r="D1899" s="7" t="n">
        <f>HYPERLINK("https://www.somogyi.hu/product/true-utility-dual-cutter-tru-mtl-0002-g-2-in-1-7-cm-tanto-penge-rugos-ollo-rozsdamentes-acel-penge-eloxalt-aluminium-tok-tru-mtl-0002-g-17840","https://www.somogyi.hu/product/true-utility-dual-cutter-tru-mtl-0002-g-2-in-1-7-cm-tanto-penge-rugos-ollo-rozsdamentes-acel-penge-eloxalt-aluminium-tok-tru-mtl-0002-g-17840")</f>
        <v>0.0</v>
      </c>
      <c r="E1899" s="7" t="n">
        <f>HYPERLINK("https://www.somogyi.hu/data/img/product_main_images/small/17840.jpg","https://www.somogyi.hu/data/img/product_main_images/small/17840.jpg")</f>
        <v>0.0</v>
      </c>
      <c r="F1899" s="2" t="inlineStr">
        <is>
          <t>5060063229201</t>
        </is>
      </c>
      <c r="G1899" s="4" t="inlineStr">
        <is>
          <t>Egyetlen szerszámmal több funkciót szeretne ellátni, ráadásul stílusos kivitelben?
A True Utility Dual Cutter (TRU-MTL-0002-G) egy sokoldalú, 2 az 1-ben vágószerszám, amely nemcsak a mindennapi feladatokban, de a kihívást jelentő helyzetekben is praktikus megoldást nyújt. A 7 cm hosszúságú tanto penge és a 4 cm-es rugós olló tökéletes kombinációt alkot, hogy bármilyen vágási műveletet gyorsan és hatékonyan elvégezzen.
Főbb jellemzők:
- 2 az 1-ben kialakítás: egy praktikus eszközben található egy 7 cm hosszú tanto penge és egy 4 cm-es rugós olló
- Tanto penge: a 7 cm hosszúságú rozsdamentes acélból készült tanto penge egykezes nyitású és rögzíthető, így biztonságosan használható bármilyen helyzetben
- Rugós olló: a 4 cm vágóélű rugós olló gyors és precíz vágást biztosít, legyen szó papírról, textíliáról vagy vékonyabb anyagokról
- Eloxált alumínium tok: a masszív, eloxált alumínium tok strapabíróvá teszi az eszközt, miközben könnyű és elegáns megjelenést kölcsönöz neki
- Rozsdamentes acél pengék: mind a kés, mind az olló rozsdamentes acélból készült, ami garantálja a hosszú élettartamot és a megbízható használatot
- Kompakt méret: összecsukott állapotban mindössze 10 x 3 x 2 cm, így könnyen hordozható, akár zsebben, akár táskában
- Stílus és funkcionalitás: a modern, letisztult dizájn és a praktikus funkciók együttesen teszik vonzóvá ezt a vágószerszámot
Kényelmes használat minden helyzetben
A True Utility Dual Cutter ergonomikus kialakításának köszönhetően kényelmesen tartható kézben, míg a rugós olló és a rögzíthető tanto penge biztonságos és precíz munkavégzést biztosít. Az eloxált alumínium tok egyszerre könnyű és strapabíró, így ez az eszköz ideális választás mindennapi használatra, de akár túrázáshoz vagy barkácsoláshoz is tökéletes társ lehet.
Miért érdemes választani a True Utility Dual Cuttert?
Ha olyan eszközt keres, amely kompakt, mégis több funkciót ellát, és mindig kéznél van a legkülönfélébb helyzetekben, akkor a True Utility Dual Cutter remek választás. Stílusos kialakításának és robusztus szerkezetének köszönhetően nemcsak praktikus, de mutatós darab is, amelyet szívesen hord magával bárhová.
Rendelje meg most, és élvezze az igazi 2 az 1-ben funkcionalitást bármikor, bárhol!</t>
        </is>
      </c>
    </row>
    <row r="1900">
      <c r="A1900" s="3" t="inlineStr">
        <is>
          <t>TU7060N</t>
        </is>
      </c>
      <c r="B1900" s="2" t="inlineStr">
        <is>
          <t>True Utility Modern Keychain Knife, TU7060N, 4 cm rozsdamentes acél penge, multifunkcionális, eloxált alumínium markolat</t>
        </is>
      </c>
      <c r="C1900" s="1" t="n">
        <v>7290.0</v>
      </c>
      <c r="D1900" s="7" t="n">
        <f>HYPERLINK("https://www.somogyi.hu/product/true-utility-modern-keychain-knife-tu7060n-4-cm-rozsdamentes-acel-penge-multifunkcionalis-eloxalt-aluminium-markolat-tu7060n-17457","https://www.somogyi.hu/product/true-utility-modern-keychain-knife-tu7060n-4-cm-rozsdamentes-acel-penge-multifunkcionalis-eloxalt-aluminium-markolat-tu7060n-17457")</f>
        <v>0.0</v>
      </c>
      <c r="E1900" s="7" t="n">
        <f>HYPERLINK("https://www.somogyi.hu/data/img/product_main_images/small/17457.jpg","https://www.somogyi.hu/data/img/product_main_images/small/17457.jpg")</f>
        <v>0.0</v>
      </c>
      <c r="F1900" s="2" t="inlineStr">
        <is>
          <t>5060063227825</t>
        </is>
      </c>
      <c r="G1900" s="4" t="inlineStr">
        <is>
          <t>A TU7060N eloxált rozsdamentes acélból készült kompakt, modern stílusos kés, amely karabinerrel rendelkezik.
A karabiner funkcionál, mint sörnyitó, feszítőél s nagy laposfejű csavarhúzóként is.
Kényelmesen elfér a kulcstartón, hasznos társként szolgál a hétköznapi feladatok megoldásában.
Ez a zsebkés sokoldalú, bármilyen feladat esetén segítségünkre lehet. Könnyen hordható öltönyzsebben, órazsebben, formája illeszkedik bármilyen helyzethez.
Vásároljon minőségi és megbízható termékeket webáruházunkból!</t>
        </is>
      </c>
    </row>
    <row r="1901">
      <c r="A1901" s="3" t="inlineStr">
        <is>
          <t>TU180K</t>
        </is>
      </c>
      <c r="B1901" s="2" t="inlineStr">
        <is>
          <t>True Utility Seven, TU180K, 9 in 1, rozsdamentes acélváz, eloxált alumínium fogantyú, multifunkcionális</t>
        </is>
      </c>
      <c r="C1901" s="1" t="n">
        <v>8490.0</v>
      </c>
      <c r="D1901" s="7" t="n">
        <f>HYPERLINK("https://www.somogyi.hu/product/true-utility-seven-tu180k-9-in-1-rozsdamentes-acelvaz-eloxalt-aluminium-fogantyu-multifunkcionalis-tu180k-17447","https://www.somogyi.hu/product/true-utility-seven-tu180k-9-in-1-rozsdamentes-acelvaz-eloxalt-aluminium-fogantyu-multifunkcionalis-tu180k-17447")</f>
        <v>0.0</v>
      </c>
      <c r="E1901" s="7" t="n">
        <f>HYPERLINK("https://www.somogyi.hu/data/img/product_main_images/small/17447.jpg","https://www.somogyi.hu/data/img/product_main_images/small/17447.jpg")</f>
        <v>0.0</v>
      </c>
      <c r="F1901" s="2" t="inlineStr">
        <is>
          <t>5060063226156</t>
        </is>
      </c>
      <c r="G1901" s="4" t="inlineStr">
        <is>
          <t>Egy megbízható, minden helyzetre kész multifunkciós szerszámot keres, amely könnyen elfér a zsebében? Fedezze fel a True Utility Seven TU180K-t, amely 9 különböző funkciót egyesít egy szuper kompakt kialakításban!
A True Utility Seven TU180K több mint egy szokásos multifunkciós szerszám; ez egy igazi mindenes, amely a mindennapi kihívásokhoz készült. Az eszköz magában foglal egy rugós, rozsdamentes acélból készült harapófogót, drótvágót, csillagfejű és laposfejű csavarhúzót, továbbá egy kés, fűrész, sörnyitó, karabiner és reszelő is helyet kapott benne. A szerszámok rozsdamentes acélból készültek, így garantált az időtállóság és a megbízhatóság.
Az ergonómikusan tervezett fogantyú eloxált alumíniumból készült, ami nemcsak a tartósságot növeli, hanem a kényelmet is biztosítja használat közben. A gyorsan csatlakoztatható karabiner segítségével könnyedén rögzítheti a szerszámot övére, hátizsákjára vagy akár kulcstartójára is, így mindig kéznél lesz, amikor szüksége van rá. A True Utility Seven TU180K tökéletes társ a mindennapi kalandokhoz, legyen szó otthoni javításról, kempingezésről vagy akár túrázásról. Méretei – összecsukva mindössze 8,5x3x1,5 cm – lehetővé teszik, hogy bárhol elférjen, anélkül, hogy sok helyet foglalna.
Ne hagyja ki ezt a rendkívüli eszközt, amely megkönnyíti napjait, bárhol is legyen! Rendelje meg most a True Utility Seven TU180K-t, és álljon készen minden helyzetre!</t>
        </is>
      </c>
    </row>
    <row r="1902">
      <c r="A1902" s="3" t="inlineStr">
        <is>
          <t>TU262K</t>
        </is>
      </c>
      <c r="B1902" s="2" t="inlineStr">
        <is>
          <t>True Utility Firestash, TU262K, vízálló öngyújtó, krómozott cink, hagyományos öngyújtóbenzin</t>
        </is>
      </c>
      <c r="C1902" s="1" t="n">
        <v>4090.0</v>
      </c>
      <c r="D1902" s="7" t="n">
        <f>HYPERLINK("https://www.somogyi.hu/product/true-utility-firestash-tu262k-vizallo-ongyujto-kromozott-cink-hagyomanyos-ongyujtobenzin-tu262k-17455","https://www.somogyi.hu/product/true-utility-firestash-tu262k-vizallo-ongyujto-kromozott-cink-hagyomanyos-ongyujtobenzin-tu262k-17455")</f>
        <v>0.0</v>
      </c>
      <c r="E1902" s="7" t="n">
        <f>HYPERLINK("https://www.somogyi.hu/data/img/product_main_images/small/17455.jpg","https://www.somogyi.hu/data/img/product_main_images/small/17455.jpg")</f>
        <v>0.0</v>
      </c>
      <c r="F1902" s="2" t="inlineStr">
        <is>
          <t>5060063226293</t>
        </is>
      </c>
      <c r="G1902" s="4" t="inlineStr">
        <is>
          <t>Van már Önnek olyan öngyújtója, amely kicsi, vízálló és bárhová magával viheti? A True Utility Firestash TU262K egy olyan aprócska öngyújtó, ami mindig kéznél van, amikor szüksége van rá!
A True Utility Firestash öngyújtó egy ultrakompakt, kulcstartóra erősíthető eszköz, ami ideális kalandos kirándulásokhoz, kempingezéshez vagy akár a mindennapi használathoz is. Kialakításának köszönhetően kifejezetten strapabíró, hiszen krómozott cinkből készült, így ellenáll az időjárási viszontagságoknak és a mindennapi kopásnak.
Az öngyújtó mérete mindössze 4,5 x 1,5 x 1,5 cm, így zsebben, táskában vagy akár a kulcscsomón is elfér anélkül, hogy észrevehető lenne. Vízálló kialakítása biztosítja, hogy nedves környezetben is megbízhatóan működik. Hagyományos öngyújtóbenzinnel tölthető, így könnyen újratölthető, amikor csak szükség van rá.
Ne hagyja otthon a True Utility Firestash TU262K öngyújtóját, legyen szó egy gyors tábori tűzgyújtásról, vagy csak egy meleg ital elkészítéséről a szabadban.</t>
        </is>
      </c>
    </row>
    <row r="1903">
      <c r="A1903" s="3" t="inlineStr">
        <is>
          <t>TU182</t>
        </is>
      </c>
      <c r="B1903" s="2" t="inlineStr">
        <is>
          <t>True Utility Fireranger, TU182, 7 cm penge, tűzkő, vészsíp, rozsdamentes acél szerszámok</t>
        </is>
      </c>
      <c r="C1903" s="1" t="n">
        <v>9390.0</v>
      </c>
      <c r="D1903" s="7" t="n">
        <f>HYPERLINK("https://www.somogyi.hu/product/true-utility-fireranger-tu182-7-cm-penge-tuzko-veszsip-rozsdamentes-acel-szerszamok-tu182-17842","https://www.somogyi.hu/product/true-utility-fireranger-tu182-7-cm-penge-tuzko-veszsip-rozsdamentes-acel-szerszamok-tu182-17842")</f>
        <v>0.0</v>
      </c>
      <c r="E1903" s="7" t="n">
        <f>HYPERLINK("https://www.somogyi.hu/data/img/product_main_images/small/17842.jpg","https://www.somogyi.hu/data/img/product_main_images/small/17842.jpg")</f>
        <v>0.0</v>
      </c>
      <c r="F1903" s="2" t="inlineStr">
        <is>
          <t>5060063227795</t>
        </is>
      </c>
      <c r="G1903" s="4" t="inlineStr">
        <is>
          <t>Szüksége van egy kompakt, mégis sokoldalú túlélő eszközre, amely minden helyzetben megállja a helyét? A True Utility TU182 Fireranger egy professzionális multifunkciós szerszám, amely kifejezetten túlélőknek és kalandoroknak készült. 
Ez a mindenes eszköz számos praktikus funkcióval rendelkezik, hogy felkészülten nézzen szembe bármilyen helyzettel a természetben vagy akár hétköznapi feladatok során. A 7 cm hosszú, egykezes, reteszelhető penge rendkívül éles és könnyen kezelhető, így gyorsan megoldást nyújt a vágási feladatokra. Emellett az eszköz tartalmaz egy tűzkövet, mellyel könnyedén tüzet gyújthat, valamint egy vészsíp is a felszerelés része, amely életmentő lehet veszélyhelyzetben. 
A rugós rozsdamentes acél fogó stabil és erős, és rendelkezik drótvágóval is, amely bármikor jól jöhet. A csillagfejű csavarhúzó, a reszelő és a fűrész szintén hozzájárulnak a szerszám sokoldalúságához, így bármilyen kisebb szerelési, javítási feladatot is elvégezhet vele. Ősszecsukott mérete mindössze 10,8 x 4 x 2,6 cm, így könnyedén elfér a zsebében vagy a mellékelt hordtáskában, ami kényelmes és biztonságos tárolást tesz lehetővé.
Ne hagyja, hogy a váratlan helyzetek meglepjék! Rendelje meg most a True Utility TU182 Fireranger multifunkciós szerszámot, és készüljön fel minden eshetőségre, legyen szó túrázásról, kempingezésről vagy mindennapi kihívásokról!</t>
        </is>
      </c>
    </row>
    <row r="1904">
      <c r="A1904" s="3" t="inlineStr">
        <is>
          <t>TU6869</t>
        </is>
      </c>
      <c r="B1904" s="2" t="inlineStr">
        <is>
          <t>True Utility Smartknife+, TU6869, 15 in 1, mágneses bitfej tartó, kábelcsupaszoló, homokfúvott rozsdamentes acél, 5,5 cm penge</t>
        </is>
      </c>
      <c r="C1904" s="1" t="n">
        <v>10690.0</v>
      </c>
      <c r="D1904" s="7" t="n">
        <f>HYPERLINK("https://www.somogyi.hu/product/true-utility-smartknife-tu6869-15-in-1-magneses-bitfej-tarto-kabelcsupaszolo-homokfuvott-rozsdamentes-acel-5-5-cm-penge-tu6869-17461","https://www.somogyi.hu/product/true-utility-smartknife-tu6869-15-in-1-magneses-bitfej-tarto-kabelcsupaszolo-homokfuvott-rozsdamentes-acel-5-5-cm-penge-tu6869-17461")</f>
        <v>0.0</v>
      </c>
      <c r="E1904" s="7" t="n">
        <f>HYPERLINK("https://www.somogyi.hu/data/img/product_main_images/small/17461.jpg","https://www.somogyi.hu/data/img/product_main_images/small/17461.jpg")</f>
        <v>0.0</v>
      </c>
      <c r="F1904" s="2" t="inlineStr">
        <is>
          <t>5060063227269</t>
        </is>
      </c>
      <c r="G1904" s="4" t="inlineStr">
        <is>
          <t>A Smartknife+ pengéje részben fogazott rozsdamentes acélból készült, csupán 6 cm es multifunkciós eszköz, amely 15 féle nélkülözhetetlen szárszámmal van felszerelve.
Funkciói:
kicsi/közepes/nagy laposfejű csavarhúzó, vonalzó angolszász és metrikus beosztással, kábelcsupaszoló három méretben, 6mm/ 8mm/ 10mm/ 12mm/ 14mm csavarkulcs, sörnyitó, mágnesezett 1/4" bitfej tokmány, övcsat, feszítő, reszelő, mágneses csillagfejű bitfej
Alapanyaga 420-as minőségű rozsdamentes acél penge, csúcsminőségű alumínium markolattal.
Legyen Öné ez a komplex kés és hasznos társa lesz a megoldandó szerelési problémáira!</t>
        </is>
      </c>
    </row>
    <row r="1905">
      <c r="A1905" s="3" t="inlineStr">
        <is>
          <t>TU215K</t>
        </is>
      </c>
      <c r="B1905" s="2" t="inlineStr">
        <is>
          <t>True Utility Nailclip Kit, TU215K, körömápoló készlet, rozsdamentes acél</t>
        </is>
      </c>
      <c r="C1905" s="1" t="n">
        <v>5290.0</v>
      </c>
      <c r="D1905" s="7" t="n">
        <f>HYPERLINK("https://www.somogyi.hu/product/true-utility-nailclip-kit-tu215k-koromapolo-keszlet-rozsdamentes-acel-tu215k-17444","https://www.somogyi.hu/product/true-utility-nailclip-kit-tu215k-koromapolo-keszlet-rozsdamentes-acel-tu215k-17444")</f>
        <v>0.0</v>
      </c>
      <c r="E1905" s="7" t="n">
        <f>HYPERLINK("https://www.somogyi.hu/data/img/product_main_images/small/17444.jpg","https://www.somogyi.hu/data/img/product_main_images/small/17444.jpg")</f>
        <v>0.0</v>
      </c>
      <c r="F1905" s="2" t="inlineStr">
        <is>
          <t>5060063227023</t>
        </is>
      </c>
      <c r="G1905" s="4" t="inlineStr">
        <is>
          <t>Ön is szeretne mindig ápolt megjelenésű lenni, még útközben is? Fedezze fel a True Utility Nailclip Kit TU215K-t, az ultrakompakt körömápoló készletet, amely bárhová elkíséri!
A True Utility Nailclip Kit TU215K egy 5 funkciós körömápoló szett, amely kifejezetten azok számára készült, akik nem elégszenek meg a kompromisszumokkal, ha személyes ápolásról van szó. Ez a készlet tartalmaz egy körömcsipeszt, kést, körömreszelőt, körömtisztítót, és körömvágó ollót, így biztosíthatja körmei tökéletes állapotát bárhol, bármikor.
Minőségi rozsdamentes acélból készült, így a True Utility Nailclip Kit garantálja a tartósságot és ellenállóságot a mindennapi használat során. Kompakt méreteinek (5,6 x 1,5 x 0,9 cm) köszönhetően könnyedén elfér zsebben, táskában vagy akár az autó kesztyűtartójában is.
Többé ne hagyja, hogy a rohanó életmód áldozata legyen a körmeinek ápoltsága! A True Utility Nailclip Kit kis mérete ellenére minden szükséges eszközt biztosít a körömápoláshoz.</t>
        </is>
      </c>
    </row>
    <row r="1906">
      <c r="A1906" s="3" t="inlineStr">
        <is>
          <t>TU208K</t>
        </is>
      </c>
      <c r="B1906" s="2" t="inlineStr">
        <is>
          <t>True Utility Minimalist, TU208K, multifunkcionális szerszám, designer kés, fekete titánbevonat, rozsdamentes acél penge</t>
        </is>
      </c>
      <c r="C1906" s="1" t="n">
        <v>8490.0</v>
      </c>
      <c r="D1906" s="7" t="n">
        <f>HYPERLINK("https://www.somogyi.hu/product/true-utility-minimalist-tu208k-multifunkcionalis-szerszam-designer-kes-fekete-titanbevonat-rozsdamentes-acel-penge-tu208k-17440","https://www.somogyi.hu/product/true-utility-minimalist-tu208k-multifunkcionalis-szerszam-designer-kes-fekete-titanbevonat-rozsdamentes-acel-penge-tu208k-17440")</f>
        <v>0.0</v>
      </c>
      <c r="E1906" s="7" t="n">
        <f>HYPERLINK("https://www.somogyi.hu/data/img/product_main_images/small/17440.jpg","https://www.somogyi.hu/data/img/product_main_images/small/17440.jpg")</f>
        <v>0.0</v>
      </c>
      <c r="F1906" s="2" t="inlineStr">
        <is>
          <t>5060063226224</t>
        </is>
      </c>
      <c r="G1906" s="4" t="inlineStr">
        <is>
          <t>Hogyan választhat olyan praktikus kést, amely nemcsak hasznos, hanem stílusos is?
A True Utility Minimalist TU208K egy kiváló minőségű, multifunkciós szerszám, amely ötvözi a praktikumot és a modern design-t. Ez a fekete titánbevonattal ellátott, rozsdamentes acél penge nemcsak elegáns megjelenést kölcsönöz, hanem hosszú élettartamot is biztosít. A Minimalist név nem véletlen: rendkívül vékony, könnyű és kis helyen is elfér, így mindig kéznél lehet, amikor szükség van rá.
Többfunkciós kialakítás a mindennapi kihívásokhoz
Ez a multifunkciós szerszám számos hasznos eszközt egyesít kompakt méretben. A karabíner révén könnyedén rögzíthető kulcstartóra vagy táskára, így mindig biztonságosan hordozható. Beépített sörnyitó, kicsi és nagy laposfejű csavarhúzók, valamint reszelő és damilvágó teszik igazán sokoldalúvá. Akár kiránduláson, akár mindennapi helyzetekben, ez a kés praktikus segítőtárs lehet.
Strapabíró anyagok és elegáns megjelenés
A rozsdamentes acél penge fekete titánréteggel van bevonva, amely nemcsak az eszköz tartósságát növeli, hanem egyedi megjelenést is biztosít. Az erős anyaghasználat garantálja, hogy a kés hosszú ideig megőrizze élességét és ellenálljon a mindennapi használat során fellépő kopásnak. Méretei (összecsukva): 8,6 x 2 x 1,2 cm, így könnyedén elfér akár egy zsebben is, anélkül hogy kényelmetlenséget okozna.
Miért érdemes a True Utility Minimalist TU208K-t választani?
- Kompakt és könnyű kialakításának köszönhetően mindig kéznél lehet, akár útközben is
- Többfunkciós eszközök, mint a csavarhúzók, sörnyitó, reszelő és damilvágó, teszik igazán sokoldalúvá
- Rozsdamentes acél penge fekete titánréteggel a tartósság és az elegancia jegyében
- Karabínerrel ellátott, így egyszerűen rögzíthető és biztonságosan hordozható
Ne érje be egy egyszerű késsel, ha létezik egy olyan eszköz, amely ennél sokkal többet nyújt! A True Utility Minimalist TU208K nemcsak a funkcionalitás, hanem a stílus terén is kiemelkedő, és minden helyzetben praktikus segítséget jelent.</t>
        </is>
      </c>
    </row>
    <row r="1907">
      <c r="A1907" s="3" t="inlineStr">
        <is>
          <t>TU214K</t>
        </is>
      </c>
      <c r="B1907" s="2" t="inlineStr">
        <is>
          <t>True Utility Sharkey, TU214K, 12 in 1, csavarkulcs, csavarhúzó, reszelő, damilvágó</t>
        </is>
      </c>
      <c r="C1907" s="1" t="n">
        <v>5090.0</v>
      </c>
      <c r="D1907" s="7" t="n">
        <f>HYPERLINK("https://www.somogyi.hu/product/true-utility-sharkey-tu214k-12-in-1-csavarkulcs-csavarhuzo-reszelo-damilvago-tu214k-17437","https://www.somogyi.hu/product/true-utility-sharkey-tu214k-12-in-1-csavarkulcs-csavarhuzo-reszelo-damilvago-tu214k-17437")</f>
        <v>0.0</v>
      </c>
      <c r="E1907" s="7" t="n">
        <f>HYPERLINK("https://www.somogyi.hu/data/img/product_main_images/small/17437.jpg","https://www.somogyi.hu/data/img/product_main_images/small/17437.jpg")</f>
        <v>0.0</v>
      </c>
      <c r="F1907" s="2" t="inlineStr">
        <is>
          <t>5060063226248</t>
        </is>
      </c>
      <c r="G1907" s="4" t="inlineStr">
        <is>
          <t>Egy olyan eszközt keres, ami mindig kéznél van, és minden szükséges funkciót magában foglal? Fedezze fel a True Utility Sharkey TU214K-t, a zsebméretű, 12 funkciós csodát, amely minden helyzetben a segítségére lehet!
A True Utility Sharkey TU214K egy rendkívül kompakt, multifunkcionális szerszám, amely mindössze 2,5 x 0,8 x 6,8 cm méretű. Ennek ellenére 12 különböző funkciót nyújt, beleértve a karabinert, különböző méretű laposfejű és csillagcsavarhúzókat, reszelőt, körömtisztítót, damilvágót, 1/4" csavarkulcsot és sörnyitót. Egyesíti a praktikumot és a hordozhatóságot, így ideális társ lehet kirándulásokon, otthoni munkáknál vagy akár mindennapi használatra.
A Sharkey kiváló minőségű anyagokból készült, így garantálja a tartósságot és az ellenálló képességet a mindennapi használat során. Ultra kompakt kialakítása lehetővé teszi, hogy a kulcstartóján is hordozza, így soha nem marad szerszám nélkül, amikor a legnagyobb szükség van rá.
Használja ki a True Utility Sharkey TU214K által nyújtott sokoldalúságot, és tegye könnyebbé és hatékonyabbá a mindennapi feladatait!</t>
        </is>
      </c>
    </row>
    <row r="1908">
      <c r="A1908" s="3" t="inlineStr">
        <is>
          <t>TU246K</t>
        </is>
      </c>
      <c r="B1908" s="2" t="inlineStr">
        <is>
          <t>True Utility Telepen, TU246K, teleszkópos kialakítás, szálcsiszolt rozsdamentes acél test, alumínium ház, 3 tollbetét, mágneses vég</t>
        </is>
      </c>
      <c r="C1908" s="1" t="n">
        <v>3190.0</v>
      </c>
      <c r="D1908" s="7" t="n">
        <f>HYPERLINK("https://www.somogyi.hu/product/true-utility-telepen-tu246k-teleszkopos-kialakitas-szalcsiszolt-rozsdamentes-acel-test-aluminium-haz-3-tollbetet-magneses-veg-tu246k-17669","https://www.somogyi.hu/product/true-utility-telepen-tu246k-teleszkopos-kialakitas-szalcsiszolt-rozsdamentes-acel-test-aluminium-haz-3-tollbetet-magneses-veg-tu246k-17669")</f>
        <v>0.0</v>
      </c>
      <c r="E1908" s="7" t="n">
        <f>HYPERLINK("https://www.somogyi.hu/data/img/product_main_images/small/17669.jpg","https://www.somogyi.hu/data/img/product_main_images/small/17669.jpg")</f>
        <v>0.0</v>
      </c>
      <c r="F1908" s="2" t="inlineStr">
        <is>
          <t>5060063227443</t>
        </is>
      </c>
      <c r="G1908" s="4" t="inlineStr">
        <is>
          <t>Hogyan lehet mindig kéznél egy elegáns, mégis praktikus toll, amely kis mérete ellenére nagy teljesítményt nyújt?
A True Utility Telepen TU246K egy különleges teleszkópos kialakítású toll, amely a kompakt méret és a funkcionalitás tökéletes ötvözete. Összetolt állapotban mindössze 6 cm hosszú, így akár egy kulcstartón is elfér, mégis teljes méretű íróeszközzé alakítható pillanatok alatt. Szálcsiszolt rozsdamentes acél testével és alumínium házával nemcsak strapabíró, hanem kifejezetten esztétikus is.
Kiváló minőség és innovatív dizájn
A Telepen szálcsiszolt rozsdamentes acél teleszkópos testtel rendelkezik, amely garantálja a hosszú élettartamot és az elegáns megjelenést. Az alumínium ház könnyűvé és ellenállóvá teszi a tollat, így bárhol magával viheti anélkül, hogy sérüléstől kellene tartania. A különleges teleszkópos mechanizmus révén a toll egyszerűen kibővíthető, így kényelmesen használható íráshoz bármilyen helyzetben.
Praktikus megoldások mindennapi használatra
A toll végén található mágneses elem további sokoldalú felhasználást tesz lehetővé, például fémtárgyak ideiglenes rögzítésére vagy gyors felvételére. A csomag három cserélhető tollbetétet is tartalmaz, így hosszú időn keresztül biztosított az írás zavartalansága. Kompakt méretének köszönhetően – mindössze ∅0,7 x 6 cm összetolva – kényelmesen elfér zsebben, kulcstartón vagy táskában.
Miért érdemes a True Utility Telepen TU246K-t választani?
- Különleges teleszkópos kialakítás, amely kompakt méretet és teljes értékű íróeszközt biztosít
- Szálcsiszolt rozsdamentes acél test és alumínium ház, amelyek garantálják a tartósságot és a stílusos megjelenést
- Tartozék három tollbetét, így hosszú időre biztosított az íráshoz szükséges tartalék
- Mágneses vég, amely további praktikus funkciókat nyújt a mindennapokban
Ne elégedjen meg egy hagyományos tollal, ha létezik egy olyan megoldás, amely nemcsak praktikus, hanem elegáns is! A True Utility Telepen TU246K tökéletes választás mindazok számára, akik szeretik a különleges és sokoldalú eszközöket.</t>
        </is>
      </c>
    </row>
    <row r="1909">
      <c r="A1909" s="3" t="inlineStr">
        <is>
          <t>TRU-MTL-0004-G</t>
        </is>
      </c>
      <c r="B1909" s="2" t="inlineStr">
        <is>
          <t>True Utlity Ti Pocket Multi Tool, TRU-MTL-0004-G, 7 funkciós titán szerszámkészlet, 7 cm titán-nitrid penge, eloxált alumínium ház</t>
        </is>
      </c>
      <c r="C1909" s="1" t="n">
        <v>16990.0</v>
      </c>
      <c r="D1909" s="7" t="n">
        <f>HYPERLINK("https://www.somogyi.hu/product/true-utlity-ti-pocket-multi-tool-tru-mtl-0004-g-7-funkcios-titan-szerszamkeszlet-7-cm-titan-nitrid-penge-eloxalt-aluminium-haz-tru-mtl-0004-g-17841","https://www.somogyi.hu/product/true-utlity-ti-pocket-multi-tool-tru-mtl-0004-g-7-funkcios-titan-szerszamkeszlet-7-cm-titan-nitrid-penge-eloxalt-aluminium-haz-tru-mtl-0004-g-17841")</f>
        <v>0.0</v>
      </c>
      <c r="E1909" s="7" t="n">
        <f>HYPERLINK("https://www.somogyi.hu/data/img/product_main_images/small/17841.jpg","https://www.somogyi.hu/data/img/product_main_images/small/17841.jpg")</f>
        <v>0.0</v>
      </c>
      <c r="F1909" s="2" t="inlineStr">
        <is>
          <t>5060063229577</t>
        </is>
      </c>
      <c r="G1909" s="4" t="inlineStr">
        <is>
          <t>Szüksége van egy sokoldalú, masszív szerszámkészletre, amely könnyedén megállja a helyét bármilyen helyzetben?
A True Utility Ti Pocket Multi Tool (TRU-MTL-0004-G) egy praktikus és strapabíró, 7 funkciós titán szerszámkészlet, amely kifejezetten azok számára készült, akik szeretnének mindig felkészültek lenni. Legyen szó kisebb javításokról, barkácsolásról vagy szabadtéri tevékenységekről, ez a multifunkciós eszköz megbízható társ minden környezetben.
Főbb jellemzők:
- 7 az 1-ben szerszámkészlet: minden olyan alapvető eszközt tartalmaz, amelyre szüksége lehet a mindennapi életben, beleértve a kést, rugós harapófogót, drótvágót, csavarhúzót, fűrészt, lyukasztót és sörnyitót
- 7 cm pengehosszúságú titán-nitrid bevonatú kés: a tartós és éles penge ideális vágási feladatokhoz, miközben a titán-nitrid bevonat hosszabb élettartamot biztosít
- Rugós, rozsdamentes harapófogó és drótvágó: a fogó és drótvágó precíziós kialakítása lehetővé teszi a pontos és kényelmes munkavégzést
- Eloxált alumínium ház: a könnyű, de erős alumínium ház masszív védelmet nyújt a szerszámok számára, miközben modern és esztétikus megjelenést biztosít
- Sokoldalú funkcionalitás: a csavarhúzó és fűrész segítségével bármilyen kisebb javítás könnyedén elvégezhető, míg a lyukasztó és sörnyitó tovább növeli a készlet praktikumát
- Kompakt méret: összecsukott állapotban mindössze 24,4 x 15,2 x 3,4 cm, így kényelmesen tárolható zsebben vagy táskában
Kialakítás és anyaghasználat
A titán-nitrid bevonatú szerszámok kiemelkedő tartósságot biztosítanak, ellenállnak a kopásnak és a korróziónak. Az eloxált alumínium ház nemcsak esztétikus, hanem kiváló védelmet nyújt az eszközöknek, miközben könnyű marad, így hosszabb használat esetén sem terheli a kezet.
Miért érdemes a True Utility Ti Pocket Multi Toolt választani?
Ez az eszköz ideális választás mindenkinek, aki szereti a kalandokat, gyakran végez kisebb javításokat, vagy egyszerűen csak mindig szeretné kéznél tudni a legfontosabb szerszámokat. A 7 funkcióval és a strapabíró kialakítással bármilyen helyzetre felkészülhet, legyen szó otthoni javításokról vagy szabadtéri tevékenységekről.
Rendelje meg most, és élvezze a True Utility Ti Pocket Multi Tool nyújtotta kényelmet és sokoldalúságot – mert egyetlen eszközzel is rengeteg feladatot megoldhat!</t>
        </is>
      </c>
    </row>
    <row r="1910">
      <c r="A1910" s="3" t="inlineStr">
        <is>
          <t>TU590</t>
        </is>
      </c>
      <c r="B1910" s="2" t="inlineStr">
        <is>
          <t>True Utility Crafty, TU590, fekete titániumbevonatú nyél, cserélhető penge, összecsukható</t>
        </is>
      </c>
      <c r="C1910" s="1" t="n">
        <v>4890.0</v>
      </c>
      <c r="D1910" s="7" t="n">
        <f>HYPERLINK("https://www.somogyi.hu/product/true-utility-crafty-tu590-fekete-titaniumbevonatu-nyel-cserelheto-penge-osszecsukhato-tu590-17462","https://www.somogyi.hu/product/true-utility-crafty-tu590-fekete-titaniumbevonatu-nyel-cserelheto-penge-osszecsukhato-tu590-17462")</f>
        <v>0.0</v>
      </c>
      <c r="E1910" s="7" t="n">
        <f>HYPERLINK("https://www.somogyi.hu/data/img/product_main_images/small/17462.jpg","https://www.somogyi.hu/data/img/product_main_images/small/17462.jpg")</f>
        <v>0.0</v>
      </c>
      <c r="F1910" s="2" t="inlineStr">
        <is>
          <t>5060063226033</t>
        </is>
      </c>
      <c r="G1910" s="4" t="inlineStr">
        <is>
          <t>Szüksége van egy késre, amely kis helyet foglal, de minden kihívásnak megfelel? Fedezze fel a True Utility Crafty TU590 modellt, amely kicsi, de roppant praktikus társ lehet mindennapi kalandjai során.
A True Utility Crafty TU590 egy összecsukható, kompakt kés, amely tökéletes választás lehet mindazok számára, akik szeretnek kirándulni, túrázni vagy egyszerűen csak szeretik maguknál tudni a szükséges szerszámokat. Az elegáns fekete titánium bevonatú nyél nem csak esztétikus, hanem rendkívül tartós is, így a kés akár éveken át megbízható társ lehet. Az egyszerűen cserélhető pengékkel a True Utility Crafty TU590 mindig éles maradhat, míg a mellékelt pótpengék biztosítják, hogy sosem marad kés nélkül.
Kialakításának köszönhetően a kés könnyedén rögzíthető hátizsákhoz vagy ruházathoz, így mindig kéznél van, amikor szükség van rá. Az 11 x 2,6 x 0,9 cm méretével a True Utility Crafty TU590 a zsebben vagy a táskában is alig foglal helyet, így tökéletes társ lehet minden utazáshoz.
Legyen szó bármilyen feladatról, a True Utility Crafty TU590 minden kihívást könnyedén megold. Tegye a kosarába ma, és vigye magával ezt a megbízható eszközt minden kalandjára!</t>
        </is>
      </c>
    </row>
    <row r="1911">
      <c r="A1911" s="3" t="inlineStr">
        <is>
          <t>TU195K</t>
        </is>
      </c>
      <c r="B1911" s="2" t="inlineStr">
        <is>
          <t>True Utility Minimulti, TU195K, 10 in 1, rozsdamentes harapófogó, drótvágó, olló</t>
        </is>
      </c>
      <c r="C1911" s="1" t="n">
        <v>8490.0</v>
      </c>
      <c r="D1911" s="7" t="n">
        <f>HYPERLINK("https://www.somogyi.hu/product/true-utility-minimulti-tu195k-10-in-1-rozsdamentes-harapofogo-drotvago-ollo-tu195k-17449","https://www.somogyi.hu/product/true-utility-minimulti-tu195k-10-in-1-rozsdamentes-harapofogo-drotvago-ollo-tu195k-17449")</f>
        <v>0.0</v>
      </c>
      <c r="E1911" s="7" t="n">
        <f>HYPERLINK("https://www.somogyi.hu/data/img/product_main_images/small/17449.jpg","https://www.somogyi.hu/data/img/product_main_images/small/17449.jpg")</f>
        <v>0.0</v>
      </c>
      <c r="F1911" s="2" t="inlineStr">
        <is>
          <t>5060063226163</t>
        </is>
      </c>
      <c r="G1911" s="4" t="inlineStr">
        <is>
          <t>Egy megbízható szerszámot keres, amely mindig kéznél van, akár a mindennapi feladatok elvégzéséhez, akár váratlan helyzetekben? A True Utility Minimulti TU195K multifunkciós szerszám a tökéletes választás Önnek!
Ez a kisméretű, mégis rendkívül sokoldalú eszköz ötvözi a praktikumot és a funkcionalitást, így biztosítva, hogy mindig rendelkezésre álljon a szükséges szerszám. A True Utility Minimulti TU195K minden nélkülözhetetlen szerszámmal fel van szerelve, így kiválóan alkalmazható bármilyen helyzetben. Az eszköz 10 különböző funkciót lát el: csillagfejű és két méretű laposfejű csavarhúzó, olló, sörnyitó, fűrész, rugós rozsdamentes harapófogó, drótvágó, reszelő és kés. Ezek az eszközök garantálják, hogy bármilyen feladattal könnyedén megbirkózzon.
A True Utility Minimulti TU195K különösen kis méretével (összecsukva csupán 7,6x3,8x1,6 cm) tűnik ki, ami lehetővé teszi, hogy zsebben vagy kulcstartón is magával vihesse. A rozsdamentes acélból készült szerszámok ellenállnak az időjárás viszontagságainak, míg az ergonomikus kialakítás biztosítja a kényelmes és biztonságos használatot.
Legyen szó otthoni munkáról, kempingezésről vagy akár egy váratlan helyzetről a munkahelyen, a True Utility Minimulti TU195K mindig a segítségére lesz.</t>
        </is>
      </c>
    </row>
    <row r="1912">
      <c r="A1912" s="3" t="inlineStr">
        <is>
          <t>TU6871</t>
        </is>
      </c>
      <c r="B1912" s="2" t="inlineStr">
        <is>
          <t>True Utility Trueblade, TU6871, 7 cm pengehossz, eloxált rozsdamentes acélpenge, eloxált alumínium tok, egykezes</t>
        </is>
      </c>
      <c r="C1912" s="1" t="n">
        <v>8190.0</v>
      </c>
      <c r="D1912" s="7" t="n">
        <f>HYPERLINK("https://www.somogyi.hu/product/true-utility-trueblade-tu6871-7-cm-pengehossz-eloxalt-rozsdamentes-acelpenge-eloxalt-aluminium-tok-egykezes-tu6871-17460","https://www.somogyi.hu/product/true-utility-trueblade-tu6871-7-cm-pengehossz-eloxalt-rozsdamentes-acelpenge-eloxalt-aluminium-tok-egykezes-tu6871-17460")</f>
        <v>0.0</v>
      </c>
      <c r="E1912" s="7" t="n">
        <f>HYPERLINK("https://www.somogyi.hu/data/img/product_main_images/small/17460.jpg","https://www.somogyi.hu/data/img/product_main_images/small/17460.jpg")</f>
        <v>0.0</v>
      </c>
      <c r="F1912" s="2" t="inlineStr">
        <is>
          <t>5060063227252</t>
        </is>
      </c>
      <c r="G1912" s="4" t="inlineStr">
        <is>
          <t>A Trueblade olyan zsebkés, amelyet könnyű kültéri munkákhoz ajánljunk. Pengéje fekete eloxált rozsdamentes acélból készült, amely egy szakaszon fogazott.
A kés keretes felépítésű, egy kézzel könnyedén nyitható-csukható, így bármilyen feladat esetén segítségül szolgál.
Könnyű, robosztus kés és övcsipesszel felakasztható.
Markolata exolált alumínium.
Legyen Öné a robosztus kés és hasznos társa lesz a megoldandó szerelési problémáira!
Vásároljon minőségi és megbízható termékeket webáruházunkból!</t>
        </is>
      </c>
    </row>
    <row r="1913">
      <c r="A1913" s="3" t="inlineStr">
        <is>
          <t>TU206K</t>
        </is>
      </c>
      <c r="B1913" s="2" t="inlineStr">
        <is>
          <t>True Utility Fishface, TU206K, 18 in 1, csavarkulcs, laposfejű csavarhúzó, fekete titánbevonat, rozsdamentes acél váz</t>
        </is>
      </c>
      <c r="C1913" s="1" t="n">
        <v>3290.0</v>
      </c>
      <c r="D1913" s="7" t="n">
        <f>HYPERLINK("https://www.somogyi.hu/product/true-utility-fishface-tu206k-18-in-1-csavarkulcs-laposfeju-csavarhuzo-fekete-titanbevonat-rozsdamentes-acel-vaz-tu206k-17438","https://www.somogyi.hu/product/true-utility-fishface-tu206k-18-in-1-csavarkulcs-laposfeju-csavarhuzo-fekete-titanbevonat-rozsdamentes-acel-vaz-tu206k-17438")</f>
        <v>0.0</v>
      </c>
      <c r="E1913" s="7" t="n">
        <f>HYPERLINK("https://www.somogyi.hu/data/img/product_main_images/small/17438.jpg","https://www.somogyi.hu/data/img/product_main_images/small/17438.jpg")</f>
        <v>0.0</v>
      </c>
      <c r="F1913" s="2" t="inlineStr">
        <is>
          <t>5060063226217</t>
        </is>
      </c>
      <c r="G1913" s="4" t="inlineStr">
        <is>
          <t>Vajon létezik egy többcélú szerszám, amely egyszerre kicsi, mégis mindent tud? A True Utility Fishface TU206K pontosan ilyen: egy zsebben is elférő, 18-funkciós mini szerszám, amely minden helyzetben a segítségére lehet!
A True Utility Fishface TU206K egy kivételesen sokoldalú eszköz, amely 18 különböző funkciót ötvöz egyetlen, kompakt kialakításban. Minden, amire szüksége lehet, megtalálható ebben az eszközben: karabiner, különböző méretű laposfejű és csillagfejű csavarhúzók, feszítő, küllőkulcs, biztonsági penge, több méretű csavarkulcs, sörnyitó, körömtisztító és reszelő. Ez a sokoldalúság teszi ideálissá mindenféle kültéri tevékenységhez, otthoni apróságokhoz vagy akár az autószereléshez is.
Kialakítása fekete titánréteggel bevont rozsdamentes acél, ami nemcsak elegáns megjelenést kölcsönöz neki, hanem rendkívül tartóssá és ellenállóvá is teszi az időjárás viszontagságaival szemben. Méretei (7x2,9x0,9 cm) lehetővé teszik, hogy akár a kulcstartóján is magával vihesse, így mindig kéznél lesz, amikor szükség van rá.
A True Utility Fishface nem csak a funkciók sokaságával, hanem könnyű hordozhatóságával is kiemelkedik. Legyen szó kempingezésről, biciklitúráról vagy egyszerű házi munkákról, ez a multifunkciós szerszám minden helyzetben nélkülözhetetlen társa lesz.</t>
        </is>
      </c>
    </row>
    <row r="1914">
      <c r="A1914" s="3" t="inlineStr">
        <is>
          <t>TU918</t>
        </is>
      </c>
      <c r="B1914" s="2" t="inlineStr">
        <is>
          <t>True Utility Cliplite, TU918, kulcstartó karabiner, tölthető lámpa, 4 funkció, 47 lm COB LED, Li-ion, marhabőr szíj, rozsdamentes acélváz</t>
        </is>
      </c>
      <c r="C1914" s="1" t="n">
        <v>6490.0</v>
      </c>
      <c r="D1914" s="7" t="n">
        <f>HYPERLINK("https://www.somogyi.hu/product/true-utility-cliplite-tu918-kulcstarto-karabiner-toltheto-lampa-4-funkcio-47-lm-cob-led-li-ion-marhabor-szij-rozsdamentes-acelvaz-tu918-17452","https://www.somogyi.hu/product/true-utility-cliplite-tu918-kulcstarto-karabiner-toltheto-lampa-4-funkcio-47-lm-cob-led-li-ion-marhabor-szij-rozsdamentes-acelvaz-tu918-17452")</f>
        <v>0.0</v>
      </c>
      <c r="E1914" s="7" t="n">
        <f>HYPERLINK("https://www.somogyi.hu/data/img/product_main_images/small/17452.jpg","https://www.somogyi.hu/data/img/product_main_images/small/17452.jpg")</f>
        <v>0.0</v>
      </c>
      <c r="F1914" s="2" t="inlineStr">
        <is>
          <t>5060063225364</t>
        </is>
      </c>
      <c r="G1914" s="4" t="inlineStr">
        <is>
          <t>A TU918 kulcstartó, karabiner és újratölthető lámpa egyben.
 A karabiner titánium bevonatú, amelyen egy újratölthető 47 lumenes fényerejű lámpa funkcionál, amelyben beépített Li-ion akkumulátor üzemel.
A valódi marhabőr szíjon az akkumulátoros lámpa újratölthető és 4 üzemben működik:
nagy fényerejű statikus fehér / kis fényerejű statikus fehér / statikus piros / villogó piros fény
Tartozékul szolgál a micro USB töltőkábel és beépített micro USB aljzat.
Vásároljon minőségi és megbízható termékeket webáruházunkból!</t>
        </is>
      </c>
    </row>
    <row r="1915">
      <c r="A1915" s="6" t="inlineStr">
        <is>
          <t xml:space="preserve">   Mérés, szerszám, forrasztás / Tűzőgép, tűzőkapocs</t>
        </is>
      </c>
      <c r="B1915" s="6" t="inlineStr">
        <is>
          <t/>
        </is>
      </c>
      <c r="C1915" s="6" t="inlineStr">
        <is>
          <t/>
        </is>
      </c>
      <c r="D1915" s="6" t="inlineStr">
        <is>
          <t/>
        </is>
      </c>
      <c r="E1915" s="6" t="inlineStr">
        <is>
          <t/>
        </is>
      </c>
      <c r="F1915" s="6" t="inlineStr">
        <is>
          <t/>
        </is>
      </c>
      <c r="G1915" s="6" t="inlineStr">
        <is>
          <t/>
        </is>
      </c>
    </row>
    <row r="1916">
      <c r="A1916" s="3" t="inlineStr">
        <is>
          <t>KTG 01/T</t>
        </is>
      </c>
      <c r="B1916" s="2" t="inlineStr">
        <is>
          <t>Home KTG 01/T tűzőkapocsszett, 8 mm tűzőkapocs, 10 mm T tűzőszeg, 12 mm U tűzőkapocs</t>
        </is>
      </c>
      <c r="C1916" s="1" t="n">
        <v>829.0</v>
      </c>
      <c r="D1916" s="7" t="n">
        <f>HYPERLINK("https://www.somogyi.hu/product/home-ktg-01-t-tuzokapocsszett-8-mm-tuzokapocs-10-mm-t-tuzoszeg-12-mm-u-tuzokapocs-ktg-01-t-17468","https://www.somogyi.hu/product/home-ktg-01-t-tuzokapocsszett-8-mm-tuzokapocs-10-mm-t-tuzoszeg-12-mm-u-tuzokapocs-ktg-01-t-17468")</f>
        <v>0.0</v>
      </c>
      <c r="E1916" s="7" t="n">
        <f>HYPERLINK("https://www.somogyi.hu/data/img/product_main_images/small/17468.jpg","https://www.somogyi.hu/data/img/product_main_images/small/17468.jpg")</f>
        <v>0.0</v>
      </c>
      <c r="F1916" s="2" t="inlineStr">
        <is>
          <t>5999084954901</t>
        </is>
      </c>
      <c r="G1916" s="4" t="inlineStr">
        <is>
          <t>Azt a kiegészítőt keresi, amely pontosan a Home tűzőgépéhez illeszkedik? A Home KTG 01/T tűzőkapocsszett a tökéletes választás az Ön számára. 
Ez a készlet 600 db tűzőkapcsot és tűzőszöget tartalmaz, így biztosítva, hogy mindig rendelkezésére álljon a megfelelő méret és típus a különböző anyagokhoz és alkalmazásokhoz. A készletben megtalálható 200 db 8 mm-es tűzőkapocs, 200 db 10 mm-es T tűzőszög, és 200 db 12 mm-es U tűzőkapocs, így sokoldalúan felhasználható a Home KTG 01 és vele kompatibilis kézi tűzőgépekkel.
Legyen szó bőr, karton, szövet vagy egyéb rétegelt lemez szerű anyagok tűzéséről, ez a tűzőkapocsszett biztosítja, hogy a munkáját precízen és hatékonyan tudja elvégezni. A különböző méretek lehetővé teszik, hogy minden projektjéhez a leginkább megfelelő kapcsot vagy szöget válassza, növelve ezzel a munka minőségét és tartósságát. A Home KTG 01/T tűzőkapocsszett nem csak praktikus, de gazdaságos megoldás is, hiszen egy csomagban kínálja a leggyakrabban használt tűzőkapcsokat és tűzőszögeket. Ez a készlet ideális kiegészítője minden kézműves és barkácsoló szerszámkészletének, akik szeretnék maximalizálni tűzőgépük használatát különféle projektekben.
Ne hagyja, hogy a hiányzó tűzőkapcsok akadályozzák projektjeit! A Home KTG 01/T tűzőkapocsszettel mindig kéznél lesznek a szükséges eszközök a munka elvégzéséhez.</t>
        </is>
      </c>
    </row>
    <row r="1917">
      <c r="A1917" s="3" t="inlineStr">
        <is>
          <t>KTG 01</t>
        </is>
      </c>
      <c r="B1917" s="2" t="inlineStr">
        <is>
          <t>Home KTG 01 kézi tűzőgép, 3 féle tűzőkapocs kompatibilis, többféle anyagon alkalmazható</t>
        </is>
      </c>
      <c r="C1917" s="1" t="n">
        <v>3090.0</v>
      </c>
      <c r="D1917" s="7" t="n">
        <f>HYPERLINK("https://www.somogyi.hu/product/home-ktg-01-kezi-tuzogep-3-fele-tuzokapocs-kompatibilis-tobbfele-anyagon-alkalmazhato-ktg-01-17469","https://www.somogyi.hu/product/home-ktg-01-kezi-tuzogep-3-fele-tuzokapocs-kompatibilis-tobbfele-anyagon-alkalmazhato-ktg-01-17469")</f>
        <v>0.0</v>
      </c>
      <c r="E1917" s="7" t="n">
        <f>HYPERLINK("https://www.somogyi.hu/data/img/product_main_images/small/17469.jpg","https://www.somogyi.hu/data/img/product_main_images/small/17469.jpg")</f>
        <v>0.0</v>
      </c>
      <c r="F1917" s="2" t="inlineStr">
        <is>
          <t>5999084954918</t>
        </is>
      </c>
      <c r="G1917" s="4" t="inlineStr">
        <is>
          <t>Szüksége van egy megbízható eszközre, amely képes könnyedén tűzni kartont, bőrt, és szöveteket különböző felületekre, mint a keményfa, puhafa, forgácslap vagy rétegelt lemez? A Home KTG 01 kézi tűzőgép pontosan az, amire szüksége van. 
Ez a sokoldalú 3 az 1-ben tűzőgép többféle tűzőkapocstípust kezel: U tűzőkapcsot 4 – 11 mm, szűk U tűzőkapcsot 10-12 mm, és T tűzőszeget 8 – 14 mm méretben, így széles körben alkalmazható különböző barkács- és otthoni javítási munkák során.
Az acélból készült Home KTG 01 kézi tűzőgép tartósságot és megbízhatóságot kínál, biztosítva, hogy minden tűzési feladatot gyorsan és hatékonyan végezhessen el. A tűzőgéphez 300 db 8mm U tűzőkapocs is tartozik, így azonnal kezdheti a munkát. Méretei (159x24x109mm) kompaktsága és könnyű kezelhetősége révén ez az eszköz kiválóan illik a kézbe, lehetővé téve a precíz munkavégzést.
Ajánljuk a KTG 01/T tűzőkapocsszettet is, amely külön megvásárolható, és tovább bővíti a tűzőgép alkalmazási lehetőségeit, így még több projektben használhatja.
Ne hagyja, hogy a nehezen kezelhető tűzőgépek akadályozzák projektjei megvalósítását! Válassza a Home KTG 01 kézi tűzőgépet a sokoldalúság, megbízhatóság és könnyű kezelhetőség érdekében.</t>
        </is>
      </c>
    </row>
    <row r="1918">
      <c r="A1918" s="6" t="inlineStr">
        <is>
          <t xml:space="preserve">   Mérés, szerszám, forrasztás / STANLEY kiskocsik, molnárkocsik</t>
        </is>
      </c>
      <c r="B1918" s="6" t="inlineStr">
        <is>
          <t/>
        </is>
      </c>
      <c r="C1918" s="6" t="inlineStr">
        <is>
          <t/>
        </is>
      </c>
      <c r="D1918" s="6" t="inlineStr">
        <is>
          <t/>
        </is>
      </c>
      <c r="E1918" s="6" t="inlineStr">
        <is>
          <t/>
        </is>
      </c>
      <c r="F1918" s="6" t="inlineStr">
        <is>
          <t/>
        </is>
      </c>
      <c r="G1918" s="6" t="inlineStr">
        <is>
          <t/>
        </is>
      </c>
    </row>
    <row r="1919">
      <c r="A1919" s="3" t="inlineStr">
        <is>
          <t>SXWTD-FT505</t>
        </is>
      </c>
      <c r="B1919" s="2" t="inlineStr">
        <is>
          <t>STANLEY SXWTD-FT505 összecsukható rekesz, 25 kg teherbírás, 50 liter űrtartalom, tömege 2 kg</t>
        </is>
      </c>
      <c r="C1919" s="1" t="n">
        <v>14290.0</v>
      </c>
      <c r="D1919" s="7" t="n">
        <f>HYPERLINK("https://www.somogyi.hu/product/stanley-sxwtd-ft505-osszecsukhato-rekesz-25-kg-teherbiras-50-liter-urtartalom-tomege-2-kg-sxwtd-ft505-16623","https://www.somogyi.hu/product/stanley-sxwtd-ft505-osszecsukhato-rekesz-25-kg-teherbiras-50-liter-urtartalom-tomege-2-kg-sxwtd-ft505-16623")</f>
        <v>0.0</v>
      </c>
      <c r="E1919" s="7" t="n">
        <f>HYPERLINK("https://www.somogyi.hu/data/img/product_main_images/small/16623.jpg","https://www.somogyi.hu/data/img/product_main_images/small/16623.jpg")</f>
        <v>0.0</v>
      </c>
      <c r="F1919" s="2" t="inlineStr">
        <is>
          <t>8717496635051</t>
        </is>
      </c>
      <c r="G1919" s="4" t="inlineStr">
        <is>
          <t>A STANLEY Rekesz összecsukható kivitelben készült. Minden STANLEY kiskocsival, molnárkocsival kompatibilis, de akár máshoz is használható. Teherbírása 25 kg, űrtartalma 50 liter. A speciális csatlakozópontok által egymással rakásolhatóak kinyitva vagy összecsukva is. 
A STANLEY prémium minőségű termékei kiváló anyagfelhasználással készültek, strapabíró kivitelben.</t>
        </is>
      </c>
    </row>
    <row r="1920">
      <c r="A1920" s="3" t="inlineStr">
        <is>
          <t>SXWTD-FT580</t>
        </is>
      </c>
      <c r="B1920" s="2" t="inlineStr">
        <is>
          <t>STANLEY SXWTD-FT580 összecsukható molnárkocsi, 70 kg teherbírás, acél váz és rakodófelület, erős gumizsinór, tömege 3,9 kg</t>
        </is>
      </c>
      <c r="C1920" s="1" t="n">
        <v>22390.0</v>
      </c>
      <c r="D1920" s="7" t="n">
        <f>HYPERLINK("https://www.somogyi.hu/product/stanley-sxwtd-ft580-osszecsukhato-molnarkocsi-70-kg-teherbiras-acel-vaz-es-rakodofelulet-eros-gumizsinor-tomege-3-9-kg-sxwtd-ft580-17051","https://www.somogyi.hu/product/stanley-sxwtd-ft580-osszecsukhato-molnarkocsi-70-kg-teherbiras-acel-vaz-es-rakodofelulet-eros-gumizsinor-tomege-3-9-kg-sxwtd-ft580-17051")</f>
        <v>0.0</v>
      </c>
      <c r="E1920" s="7" t="n">
        <f>HYPERLINK("https://www.somogyi.hu/data/img/product_main_images/small/17051.jpg","https://www.somogyi.hu/data/img/product_main_images/small/17051.jpg")</f>
        <v>0.0</v>
      </c>
      <c r="F1920" s="2" t="inlineStr">
        <is>
          <t>8717496635808</t>
        </is>
      </c>
      <c r="G1920" s="4" t="inlineStr">
        <is>
          <t>A STANLEY molnárkocsi összecsukható kivitelben készült, így kis helyen, bútor mögött vagy akár ágy alatt tárolható. Könnyítse meg a cipekedést ezzel a robosztus kialakítású molnárkocsival. A rakományt egy erős gumizsinórral tudja rögzíteni. Teherbírása 70 kg. 
A nagy igénybevételű alkatrészek nylonból, a többi műanyag alkatrész polipropilénből készült. 
A molnárkocsi váza, rakodófelület acélból, valamint a műanyag kerekek gumi felülettel ellátottak.  
A STANLEY prémium minőségű termékei kiváló anyagfelhasználással készültek, strapabíró és széles körű funkciókkal, a biztonságos használatot előtérbe helyezve.</t>
        </is>
      </c>
    </row>
    <row r="1921">
      <c r="A1921" s="3" t="inlineStr">
        <is>
          <t>SXWTD-FT584</t>
        </is>
      </c>
      <c r="B1921" s="2" t="inlineStr">
        <is>
          <t>STANLEY SXWTD-FT584 összecsukható molnárkocsi, lépcsőjáró, 60 kg teherbírás, tömege 4 kg, 6 db kerék lépcsőjáráshoz</t>
        </is>
      </c>
      <c r="C1921" s="1" t="n">
        <v>26290.0</v>
      </c>
      <c r="D1921" s="7" t="n">
        <f>HYPERLINK("https://www.somogyi.hu/product/stanley-sxwtd-ft584-osszecsukhato-molnarkocsi-lepcsojaro-60-kg-teherbiras-tomege-4-kg-6-db-kerek-lepcsojarashoz-sxwtd-ft584-17052","https://www.somogyi.hu/product/stanley-sxwtd-ft584-osszecsukhato-molnarkocsi-lepcsojaro-60-kg-teherbiras-tomege-4-kg-6-db-kerek-lepcsojarashoz-sxwtd-ft584-17052")</f>
        <v>0.0</v>
      </c>
      <c r="E1921" s="7" t="n">
        <f>HYPERLINK("https://www.somogyi.hu/data/img/product_main_images/small/17052.jpg","https://www.somogyi.hu/data/img/product_main_images/small/17052.jpg")</f>
        <v>0.0</v>
      </c>
      <c r="F1921" s="2" t="inlineStr">
        <is>
          <t>8717496635846</t>
        </is>
      </c>
      <c r="G1921" s="4" t="inlineStr">
        <is>
          <t>A STANLEY Lépcsőjáró molnárkocsi összecsukható kivitelben készült, így kis helyen, bútor mögött vagy akár ágy alatt tárolható. Könnyítse meg a cipekedést ezzel a robosztus kialakítású molnárkocsival. 2 x 3 db kerékkel ellátott, hogy minél könnyebben tegye meg az akadályt a lépcsőkön, küszöbökön. A rakományt egy erős gumizsinórral tudja rögzíteni. Teherbírása 60 kg. 
A nagy igénybevételű alkatrészek nylonból, a többi műanyag alkatrész polipropilénből készült. 
A molnárkocsi váza acélból, a rakodófelület alumíniumból, valamint a műanyag kerekek gumi felülettel ellátottak.  
A STANLEY prémium minőségű termékei kiváló anyagfelhasználással készültek, strapabíró és széles körű funkciókkal, a biztonságos használatot előtérbe helyezve.</t>
        </is>
      </c>
    </row>
    <row r="1922">
      <c r="A1922" s="3" t="inlineStr">
        <is>
          <t>SXWTD-FT585</t>
        </is>
      </c>
      <c r="B1922" s="2" t="inlineStr">
        <is>
          <t>STANLEY SXWTD-FT585 összecsukható molnárkocsi, 2 in 1 kiskocsi, max. 137 kg teherbírás, tömege 7,3 kg, molnárkocsinak átalakítható</t>
        </is>
      </c>
      <c r="C1922" s="1" t="n">
        <v>55490.0</v>
      </c>
      <c r="D1922" s="7" t="n">
        <f>HYPERLINK("https://www.somogyi.hu/product/stanley-sxwtd-ft585-osszecsukhato-molnarkocsi-2-in-1-kiskocsi-max-137-kg-teherbiras-tomege-7-3-kg-molnarkocsinak-atalakithato-sxwtd-ft585-17053","https://www.somogyi.hu/product/stanley-sxwtd-ft585-osszecsukhato-molnarkocsi-2-in-1-kiskocsi-max-137-kg-teherbiras-tomege-7-3-kg-molnarkocsinak-atalakithato-sxwtd-ft585-17053")</f>
        <v>0.0</v>
      </c>
      <c r="E1922" s="7" t="n">
        <f>HYPERLINK("https://www.somogyi.hu/data/img/product_main_images/small/17053.jpg","https://www.somogyi.hu/data/img/product_main_images/small/17053.jpg")</f>
        <v>0.0</v>
      </c>
      <c r="F1922" s="2" t="inlineStr">
        <is>
          <t>8717496635853</t>
        </is>
      </c>
      <c r="G1922" s="4" t="inlineStr">
        <is>
          <t>A STANLEY Molnárkocsi/ kiskocsi összecsukható kivitelben készült, így kis helyen, bútor mögött vagy akár ágy alatt tárolható. Két módon használható, rendkívül egyszerűen, pillanatok alatt 4 kerekű kiskocsivá vagy 2 kerekű molnárkocsivá nyithatja ki. Teherbírása 137/ 70 kg. 
Könnyítse meg a cipekedést ezzel a robosztus kialakítású kiskocsival. 
A nagy igénybevételű alkatrészek nylonból, a többi műanyag alkatrész polipropilénből készült. 
A molnárkocsi/ kiskocsi váza acélból, a rakodófelület alumíniumból, valamint a golyóscsapágyas műanyag kerekek gumi felülettel készültek. 
A STANLEY prémium minőségű termékei kiváló anyagfelhasználással készültek, strapabíró és széles körű funkciókkal, a biztonságos használatot előtérbe helyezve.</t>
        </is>
      </c>
    </row>
    <row r="1923">
      <c r="A1923" s="3" t="inlineStr">
        <is>
          <t>SXWTD-PC527</t>
        </is>
      </c>
      <c r="B1923" s="2" t="inlineStr">
        <is>
          <t>STANLEY SXWTD-PC527 összecsukható kiskocsi, 150 kg teherbírás, golyóscsapágyas kerekek, gyors összecsukás, tömege 7,8 kg, acél váz</t>
        </is>
      </c>
      <c r="C1923" s="1" t="n">
        <v>35790.0</v>
      </c>
      <c r="D1923" s="7" t="n">
        <f>HYPERLINK("https://www.somogyi.hu/product/stanley-sxwtd-pc527-osszecsukhato-kiskocsi-150-kg-teherbiras-golyoscsapagyas-kerekek-gyors-osszecsukas-tomege-7-8-kg-acel-vaz-sxwtd-pc527-17826","https://www.somogyi.hu/product/stanley-sxwtd-pc527-osszecsukhato-kiskocsi-150-kg-teherbiras-golyoscsapagyas-kerekek-gyors-osszecsukas-tomege-7-8-kg-acel-vaz-sxwtd-pc527-17826")</f>
        <v>0.0</v>
      </c>
      <c r="E1923" s="7" t="n">
        <f>HYPERLINK("https://www.somogyi.hu/data/img/product_main_images/small/17826.jpg","https://www.somogyi.hu/data/img/product_main_images/small/17826.jpg")</f>
        <v>0.0</v>
      </c>
      <c r="F1923" s="2" t="inlineStr">
        <is>
          <t>8717496635273</t>
        </is>
      </c>
      <c r="G1923" s="4" t="inlineStr">
        <is>
          <t>Szüksége van egy megbízható és masszív kiskocsira, amely megkönnyíti a nehéz tárgyak szállítását akár szűk helyeken is?
A STANLEY SXWTD-PC527 összecsukható kiskocsi ideális megoldás mindazok számára, akik rendszeresen szállítanak nehéz tárgyakat raktárakban, műhelyekben vagy akár otthon. Ez a nagy teherbírású, 150 kg kapacitású kiskocsi acél vázzal és golyóscsapágyas kerekekkel van felszerelve, így garantálja a stabilitást és a sima gördülést még nagy terhelés mellett is. Az innovatív összecsukható kialakításnak köszönhetően pillanatok alatt lapra hajtható, így könnyen tárolható és szállítható.
Főbb jellemzők:
- 150 kg teherbírás: Alkalmas nehéz tárgyak, dobozok, eszközök kényelmes és biztonságos szállítására
- Gyors összecsukhatóság: Egy mozdulattal lapra hajtható, így helytakarékosan tárolható és egyszerűen szállítható
- Masszív acél váz: A váz és a fogantyú tartós acélból készült, amely hosszú élettartamot és megbízhatóságot biztosít
- Golyóscsapágyas kerekek: Kiváló gördülékenységet és könnyű irányíthatóságot garantálnak, még teljes terhelés esetén is
Kompakt méret:
    - Összecsukva: 73,5 x 47 x 23 cm – egyszerűen elfér szűk helyeken
    - Kinyitva: 73,5 x 47 x 83 cm – megfelelő magasságot biztosít a kényelmes használathoz
    - Platóméret: 73,5 x 47 cm – elegendő helyet nyújt különböző méretű tárgyak szállítására
- Tömege: Mindössze 7,8 kg, így könnyen hordozható
Miért válassza a STANLEY SXWTD-PC527 összecsukható kiskocsit?
A mindennapi szállítási feladatok elvégzése ezzel a kiskocsival gyorsabb és hatékonyabb. Az acélból készült, robusztus kialakítás garantálja a tartósságot, míg a golyóscsapágyas kerekek sima mozgást biztosítanak bármilyen felületen. Az összecsukható mechanizmus megkönnyíti a tárolást és a szállítást, így ideális választás azoknak, akiknek a helytakarékosság fontos szempont.
Ne hagyja, hogy a nehéz terhek megnehezítsék a munkáját! Válassza a STANLEY SXWTD-PC527 összecsukható kiskocsit, és élvezze a gördülékeny és kényelmes szállítást minden helyzetben!</t>
        </is>
      </c>
    </row>
    <row r="1924">
      <c r="A1924" s="6" t="inlineStr">
        <is>
          <t xml:space="preserve">   Mérés, szerszám, forrasztás / SENKO</t>
        </is>
      </c>
      <c r="B1924" s="6" t="inlineStr">
        <is>
          <t/>
        </is>
      </c>
      <c r="C1924" s="6" t="inlineStr">
        <is>
          <t/>
        </is>
      </c>
      <c r="D1924" s="6" t="inlineStr">
        <is>
          <t/>
        </is>
      </c>
      <c r="E1924" s="6" t="inlineStr">
        <is>
          <t/>
        </is>
      </c>
      <c r="F1924" s="6" t="inlineStr">
        <is>
          <t/>
        </is>
      </c>
      <c r="G1924" s="6" t="inlineStr">
        <is>
          <t/>
        </is>
      </c>
    </row>
    <row r="1925">
      <c r="A1925" s="3" t="inlineStr">
        <is>
          <t>SEN-SP-SGT-H2S</t>
        </is>
      </c>
      <c r="B1925" s="2" t="inlineStr">
        <is>
          <t>SENKO egygázos hordozható gázérzékelő (H2S) gondozásmentes kivitel</t>
        </is>
      </c>
      <c r="C1925" s="1" t="n">
        <v>49990.0</v>
      </c>
      <c r="D1925" s="7" t="n">
        <f>HYPERLINK("https://www.somogyi.hu/product/senko-egygazos-hordozhato-gazerzekelo-h2s-gondozasmentes-kivitel-sen-sp-sgt-h2s-17936","https://www.somogyi.hu/product/senko-egygazos-hordozhato-gazerzekelo-h2s-gondozasmentes-kivitel-sen-sp-sgt-h2s-17936")</f>
        <v>0.0</v>
      </c>
      <c r="E1925" s="7" t="n">
        <f>HYPERLINK("https://www.somogyi.hu/data/img/product_main_images/small/17936.jpg","https://www.somogyi.hu/data/img/product_main_images/small/17936.jpg")</f>
        <v>0.0</v>
      </c>
      <c r="F1925" s="2" t="inlineStr">
        <is>
          <t>2221595800013</t>
        </is>
      </c>
      <c r="G1925" s="4" t="inlineStr">
        <is>
          <t xml:space="preserve"> • érzékelt gáz: H2S 
 • érzékelő típusa: elektrokémiai 
 • érzékelés módja: diffúziós 
 • mérési tartomány: 0 - 100 ppm 
 • élettartam: szenzor élettartam: &gt; 2 év 
 • felbontás: 1 ppm 
 • kijelző: LCD, háttérvilágítással 
 • riasztási szint: állítható 
 • memória: 30 legutóbbi esemény eltárolása 
 • működési tartomány: -40 - 50 °C, 5 - 95% RH (nem kondenzálódó)  
 • beépített akkumulátor: beépített Li-ion akkumulátor 
 • méret: 54 x 91 x 32 mm</t>
        </is>
      </c>
    </row>
    <row r="1926">
      <c r="A1926" s="3" t="inlineStr">
        <is>
          <t>SEN-SP-MGT-N</t>
        </is>
      </c>
      <c r="B1926" s="2" t="inlineStr">
        <is>
          <t>SENKO négygázos hordozható gázérzékelő (O2,CO,H2S, LEL), Infra szenzor</t>
        </is>
      </c>
      <c r="C1926" s="1" t="n">
        <v>299990.0</v>
      </c>
      <c r="D1926" s="7" t="n">
        <f>HYPERLINK("https://www.somogyi.hu/product/senko-negygazos-hordozhato-gazerzekelo-o2-co-h2s-lel-infra-szenzor-sen-sp-mgt-n-17941","https://www.somogyi.hu/product/senko-negygazos-hordozhato-gazerzekelo-o2-co-h2s-lel-infra-szenzor-sen-sp-mgt-n-17941")</f>
        <v>0.0</v>
      </c>
      <c r="E1926" s="7" t="n">
        <f>HYPERLINK("https://www.somogyi.hu/data/img/product_main_images/small/17941.jpg","https://www.somogyi.hu/data/img/product_main_images/small/17941.jpg")</f>
        <v>0.0</v>
      </c>
      <c r="F1926" s="2" t="inlineStr">
        <is>
          <t>2221596300017</t>
        </is>
      </c>
      <c r="G1926" s="4" t="inlineStr">
        <is>
          <t xml:space="preserve"> • érzékelt gáz: éghető (LEL), O2, CO, H2S 
 • érzékelő típusa: infra, elektrokémiai 
 • érzékelés módja: diffúziós 
 • mérési tartomány: LEL:0 - 100 ARH% (1/ARH%), O2: 0 - 30 tf% (/0,1 tf%),  CO: 0 - 500 ppm (/1 ppm), H2S: 0 - 100 ppm (/1 ppm) 
 • élettartam: szenzor élettartam: ~ 2 év 
 • kijelző: LCD, háttérvilágítással 
 • memória: 30 legutóbbi esemény eltárolása 
 • működési tartomány: -20 - 45 °C, 10 - 95% RH (nem kondenzálódó) 
 • beépített akkumulátor: beépített Li-ion akkumulátor 
 • méret: 54 x 91 x 32 mm</t>
        </is>
      </c>
    </row>
    <row r="1927">
      <c r="A1927" s="3" t="inlineStr">
        <is>
          <t>SEN-SP-SGT-CO</t>
        </is>
      </c>
      <c r="B1927" s="2" t="inlineStr">
        <is>
          <t>SENKO egygázos hordozható gázérzékelő (CO) gondozásmentes kivitel</t>
        </is>
      </c>
      <c r="C1927" s="1" t="n">
        <v>49990.0</v>
      </c>
      <c r="D1927" s="7" t="n">
        <f>HYPERLINK("https://www.somogyi.hu/product/senko-egygazos-hordozhato-gazerzekelo-co-gondozasmentes-kivitel-sen-sp-sgt-co-17934","https://www.somogyi.hu/product/senko-egygazos-hordozhato-gazerzekelo-co-gondozasmentes-kivitel-sen-sp-sgt-co-17934")</f>
        <v>0.0</v>
      </c>
      <c r="E1927" s="7" t="n">
        <f>HYPERLINK("https://www.somogyi.hu/data/img/product_main_images/small/17934.jpg","https://www.somogyi.hu/data/img/product_main_images/small/17934.jpg")</f>
        <v>0.0</v>
      </c>
      <c r="F1927" s="2" t="inlineStr">
        <is>
          <t>2221595600019</t>
        </is>
      </c>
      <c r="G1927" s="4" t="inlineStr">
        <is>
          <t xml:space="preserve"> • érzékelt gáz: CO 
 • érzékelő típusa: elektrokémiai 
 • érzékelés módja: diffúziós 
 • mérési tartomány: 0 - 500 ppm 
 • élettartam: szenzor élettartam: &gt; 2 év 
 • felbontás: 1 ppm 
 • kijelző: LCD, háttérvilágítással 
 • riasztási szint: állítható 
 • memória: 30 legutóbbi esemény eltárolása 
 • működési tartomány: -40 - 50 °C, 5 - 95% RH (nem kondenzálódó) 
 • beépített akkumulátor: beépített Li-ion akkumulátor 
 • méret: 54 x 91 x 32 mm</t>
        </is>
      </c>
    </row>
    <row r="1928">
      <c r="A1928" s="3" t="inlineStr">
        <is>
          <t>SEN-SP-SGT-H2</t>
        </is>
      </c>
      <c r="B1928" s="2" t="inlineStr">
        <is>
          <t>SENKO egygázos hordozható gázérzékelő (H2) gondozásmentes kivitel</t>
        </is>
      </c>
      <c r="C1928" s="1" t="n">
        <v>129990.0</v>
      </c>
      <c r="D1928" s="7" t="n">
        <f>HYPERLINK("https://www.somogyi.hu/product/senko-egygazos-hordozhato-gazerzekelo-h2-gondozasmentes-kivitel-sen-sp-sgt-h2-17935","https://www.somogyi.hu/product/senko-egygazos-hordozhato-gazerzekelo-h2-gondozasmentes-kivitel-sen-sp-sgt-h2-17935")</f>
        <v>0.0</v>
      </c>
      <c r="E1928" s="7" t="n">
        <f>HYPERLINK("https://www.somogyi.hu/data/img/product_main_images/small/17935.jpg","https://www.somogyi.hu/data/img/product_main_images/small/17935.jpg")</f>
        <v>0.0</v>
      </c>
      <c r="F1928" s="2" t="inlineStr">
        <is>
          <t>2221595700016</t>
        </is>
      </c>
      <c r="G1928" s="4" t="inlineStr">
        <is>
          <t xml:space="preserve"> • érzékelt gáz: H2 
 • érzékelő típusa: elektrokémiai 
 • érzékelés módja: diffúziós 
 • mérési tartomány: 0 - 1000 ppm 
 • élettartam: szenzor élettartam: &gt; 2 év 
 • felbontás: 5 ppm 
 • kijelző: LCD, háttérvilágítással 
 • riasztási szint: állítható 
 • memória: 30 legutóbbi esemény eltárolása 
 • működési tartomány: -40 - 50 °C, 5 - 95% RH (nem kondenzálódó)  
 • beépített akkumulátor: beépített Li-ion akkumulátor 
 • méret: 54 x 91 x 32 mm</t>
        </is>
      </c>
    </row>
    <row r="1929">
      <c r="A1929" s="3" t="inlineStr">
        <is>
          <t>SEN-SP-MGT-P</t>
        </is>
      </c>
      <c r="B1929" s="2" t="inlineStr">
        <is>
          <t>SENKO négygázos hordozható gázérzékelő (O2,CO,H2S, LEL), Katalitikus szenzor</t>
        </is>
      </c>
      <c r="C1929" s="1" t="n">
        <v>194990.0</v>
      </c>
      <c r="D1929" s="7" t="n">
        <f>HYPERLINK("https://www.somogyi.hu/product/senko-negygazos-hordozhato-gazerzekelo-o2-co-h2s-lel-katalitikus-szenzor-sen-sp-mgt-p-17940","https://www.somogyi.hu/product/senko-negygazos-hordozhato-gazerzekelo-o2-co-h2s-lel-katalitikus-szenzor-sen-sp-mgt-p-17940")</f>
        <v>0.0</v>
      </c>
      <c r="E1929" s="7" t="n">
        <f>HYPERLINK("https://www.somogyi.hu/data/img/product_main_images/small/17940.jpg","https://www.somogyi.hu/data/img/product_main_images/small/17940.jpg")</f>
        <v>0.0</v>
      </c>
      <c r="F1929" s="2" t="inlineStr">
        <is>
          <t>2221596200010</t>
        </is>
      </c>
      <c r="G1929" s="4" t="inlineStr">
        <is>
          <t xml:space="preserve"> • érzékelt gáz: éghető (LEL), O2, CO, H2S 
 • érzékelő típusa: katalitikus, elektrokémiai 
 • érzékelés módja: diffúziós 
 • mérési tartomány: LEL:0 - 100 ARH% (1/ARH%), O2: 0 - 30 tf% (/0,1 tf%),  CO: 0 - 500 ppm (/1 ppm), H2S: 0 - 100 ppm (/1 ppm) 
 • élettartam: szenzor élettartam: ~ 2 év 
 • kijelző: LCD, háttérvilágítással 
 • memória: 30 legutóbbi esemény eltárolása 
 • működési tartomány: -20 - 45 °C, 10 - 95% RH (nem kondenzálódó) 
 • beépített akkumulátor: beépített Li-ion akkumulátor 
 • méret: 54 x 91 x 32 mm</t>
        </is>
      </c>
    </row>
    <row r="1930">
      <c r="A1930" s="3" t="inlineStr">
        <is>
          <t>SEN-SP-SGT-NO2</t>
        </is>
      </c>
      <c r="B1930" s="2" t="inlineStr">
        <is>
          <t>SENKO egygázos hordozható gázérzékelő (NO2) gondozásmentes kivitel</t>
        </is>
      </c>
      <c r="C1930" s="1" t="n">
        <v>154990.0</v>
      </c>
      <c r="D1930" s="7" t="n">
        <f>HYPERLINK("https://www.somogyi.hu/product/senko-egygazos-hordozhato-gazerzekelo-no2-gondozasmentes-kivitel-sen-sp-sgt-no2-17938","https://www.somogyi.hu/product/senko-egygazos-hordozhato-gazerzekelo-no2-gondozasmentes-kivitel-sen-sp-sgt-no2-17938")</f>
        <v>0.0</v>
      </c>
      <c r="E1930" s="7" t="n">
        <f>HYPERLINK("https://www.somogyi.hu/data/img/product_main_images/small/17938.jpg","https://www.somogyi.hu/data/img/product_main_images/small/17938.jpg")</f>
        <v>0.0</v>
      </c>
      <c r="F1930" s="2" t="inlineStr">
        <is>
          <t>2221596000016</t>
        </is>
      </c>
      <c r="G1930" s="4" t="inlineStr">
        <is>
          <t xml:space="preserve"> • érzékelt gáz: NO2 
 • érzékelő típusa: elektrokémiai 
 • érzékelés módja: diffúziós 
 • mérési tartomány: 0 - 20 ppm 
 • élettartam: szenzor élettartam: &gt; 2 év 
 • felbontás: 0,1 ppm 
 • kijelző: LCD, háttérvilágítással 
 • riasztási szint: állítható 
 • memória: 30 legutóbbi esemény eltárolása 
 • működési tartomány: -40 - 50 °C, 5 - 95% RH (nem kondenzálódó)  
 • beépített akkumulátor: beépített Li-ion akkumulátor 
 • méret: 54 x 91 x 32 mm</t>
        </is>
      </c>
    </row>
    <row r="1931">
      <c r="A1931" s="3" t="inlineStr">
        <is>
          <t>SEN-SP-SGT-NH3</t>
        </is>
      </c>
      <c r="B1931" s="2" t="inlineStr">
        <is>
          <t>SENKO egygázos hordozható gázérzékelő (NH3) gondozásmentes kivitel</t>
        </is>
      </c>
      <c r="C1931" s="1" t="n">
        <v>139990.0</v>
      </c>
      <c r="D1931" s="7" t="n">
        <f>HYPERLINK("https://www.somogyi.hu/product/senko-egygazos-hordozhato-gazerzekelo-nh3-gondozasmentes-kivitel-sen-sp-sgt-nh3-17937","https://www.somogyi.hu/product/senko-egygazos-hordozhato-gazerzekelo-nh3-gondozasmentes-kivitel-sen-sp-sgt-nh3-17937")</f>
        <v>0.0</v>
      </c>
      <c r="E1931" s="7" t="n">
        <f>HYPERLINK("https://www.somogyi.hu/data/img/product_main_images/small/17937.jpg","https://www.somogyi.hu/data/img/product_main_images/small/17937.jpg")</f>
        <v>0.0</v>
      </c>
      <c r="F1931" s="2" t="inlineStr">
        <is>
          <t>2221595900010</t>
        </is>
      </c>
      <c r="G1931" s="4" t="inlineStr">
        <is>
          <t xml:space="preserve"> • érzékelt gáz: NH3 
 • érzékelő típusa: elektrokémiai 
 • érzékelés módja: diffúziós 
 • mérési tartomány: 0 - 100 ppm 
 • élettartam: szenzor élettartam: &gt; 2 év 
 • felbontás: 1 ppm 
 • kijelző: LCD, háttérvilágítással 
 • riasztási szint: állítható 
 • memória: 30 legutóbbi esemény eltárolása 
 • működési tartomány: -40 - 50 °C, 5 - 95% RH (nem kondenzálódó)  
 • beépített akkumulátor: beépített Li-ion akkumulátor 
 • méret: 54 x 91 x 32 mm</t>
        </is>
      </c>
    </row>
    <row r="1932">
      <c r="A1932" s="3" t="inlineStr">
        <is>
          <t>SEN-SP-SGT-O2</t>
        </is>
      </c>
      <c r="B1932" s="2" t="inlineStr">
        <is>
          <t>SENKO egygázos hordozható gázérzékelő (O2) gondozásmentes kivitel</t>
        </is>
      </c>
      <c r="C1932" s="1" t="n">
        <v>51990.0</v>
      </c>
      <c r="D1932" s="7" t="n">
        <f>HYPERLINK("https://www.somogyi.hu/product/senko-egygazos-hordozhato-gazerzekelo-o2-gondozasmentes-kivitel-sen-sp-sgt-o2-17939","https://www.somogyi.hu/product/senko-egygazos-hordozhato-gazerzekelo-o2-gondozasmentes-kivitel-sen-sp-sgt-o2-17939")</f>
        <v>0.0</v>
      </c>
      <c r="E1932" s="7" t="n">
        <f>HYPERLINK("https://www.somogyi.hu/data/img/product_main_images/small/17939.jpg","https://www.somogyi.hu/data/img/product_main_images/small/17939.jpg")</f>
        <v>0.0</v>
      </c>
      <c r="F1932" s="2" t="inlineStr">
        <is>
          <t>2221596100013</t>
        </is>
      </c>
      <c r="G1932" s="4" t="inlineStr">
        <is>
          <t xml:space="preserve"> • érzékelt gáz: O2 
 • érzékelő típusa: elektrokémiai 
 • érzékelés módja: diffúziós 
 • mérési tartomány: 0 - 30 tf% 
 • élettartam: 2 év 
 • felbontás: 0,1 tf% 
 • kijelző: LCD, háttérvilágítással 
 • riasztási szint: állítható 
 • memória: 30 legutóbbi esemény eltárolása 
 • működési tartomány: -35 - 50 °C, 5 - 95% RH (nem kondenzálódó) 
 • beépített akkumulátor: beépített Li-ion akkumulátor 
 • méret: 54 x 91 x 32 mm</t>
        </is>
      </c>
    </row>
    <row r="1933">
      <c r="A1933" s="6" t="inlineStr">
        <is>
          <t xml:space="preserve">   Jármű, járműfelszerelés / Feszültségátalakító, akkumulátortöltő</t>
        </is>
      </c>
      <c r="B1933" s="6" t="inlineStr">
        <is>
          <t/>
        </is>
      </c>
      <c r="C1933" s="6" t="inlineStr">
        <is>
          <t/>
        </is>
      </c>
      <c r="D1933" s="6" t="inlineStr">
        <is>
          <t/>
        </is>
      </c>
      <c r="E1933" s="6" t="inlineStr">
        <is>
          <t/>
        </is>
      </c>
      <c r="F1933" s="6" t="inlineStr">
        <is>
          <t/>
        </is>
      </c>
      <c r="G1933" s="6" t="inlineStr">
        <is>
          <t/>
        </is>
      </c>
    </row>
    <row r="1934">
      <c r="A1934" s="3" t="inlineStr">
        <is>
          <t>SAI 1000TS</t>
        </is>
      </c>
      <c r="B1934" s="2" t="inlineStr">
        <is>
          <t>SAL SAI 1000TS tiszta szinuszos feszültségátalakító, 1000 W, inverter, 2,1 A USB gyorstöltő, gyermekzár</t>
        </is>
      </c>
      <c r="C1934" s="1" t="n">
        <v>80790.0</v>
      </c>
      <c r="D1934" s="7" t="n">
        <f>HYPERLINK("https://www.somogyi.hu/product/sal-sai-1000ts-tiszta-szinuszos-feszultsegatalakito-1000-w-inverter-2-1-a-usb-gyorstolto-gyermekzar-sai-1000ts-17498","https://www.somogyi.hu/product/sal-sai-1000ts-tiszta-szinuszos-feszultsegatalakito-1000-w-inverter-2-1-a-usb-gyorstolto-gyermekzar-sai-1000ts-17498")</f>
        <v>0.0</v>
      </c>
      <c r="E1934" s="7" t="n">
        <f>HYPERLINK("https://www.somogyi.hu/data/img/product_main_images/small/17498.jpg","https://www.somogyi.hu/data/img/product_main_images/small/17498.jpg")</f>
        <v>0.0</v>
      </c>
      <c r="F1934" s="2" t="inlineStr">
        <is>
          <t>5999084955205</t>
        </is>
      </c>
      <c r="G1934" s="4" t="inlineStr">
        <is>
          <t>A SAI 1000TS Feszültség átalakító tiszta szinuszos hálózati feszültséget állít elő, ha rendelkezésre áll 12 V DC. Előnye, hogy alkalmazható járműben, hajón, kempingben. Kb.1000 W folyamatos terhelhetőség, illetve 2000 W csúcsterhelhetőség jellemzi. Motoros és érzékeny berendezésekhez is ideális. 
A feszültség átalakító túlterhelés ellen, túlmelegedés ellen, túlfeszültség ellen és rövidzárlat ellen és akkumulátor kimerülés elleni védelemmel ellátott. 
A készüléken USB gyorstöltő aljzat is található, valamint a hálózati aljzat gyermekzárral felszerelt.</t>
        </is>
      </c>
    </row>
    <row r="1935">
      <c r="A1935" s="3" t="inlineStr">
        <is>
          <t>SAI 600USB</t>
        </is>
      </c>
      <c r="B1935" s="2" t="inlineStr">
        <is>
          <t>SAL SAI 600USB feszültségátalakító, 300 W, inverter, 500 mA USB töltő, gyermekzár</t>
        </is>
      </c>
      <c r="C1935" s="1" t="n">
        <v>15290.0</v>
      </c>
      <c r="D1935" s="7" t="n">
        <f>HYPERLINK("https://www.somogyi.hu/product/sal-sai-600usb-feszultsegatalakito-300-w-inverter-500-ma-usb-tolto-gyermekzar-sai-600usb-15519","https://www.somogyi.hu/product/sal-sai-600usb-feszultsegatalakito-300-w-inverter-500-ma-usb-tolto-gyermekzar-sai-600usb-15519")</f>
        <v>0.0</v>
      </c>
      <c r="E1935" s="7" t="n">
        <f>HYPERLINK("https://www.somogyi.hu/data/img/product_main_images/small/15519.jpg","https://www.somogyi.hu/data/img/product_main_images/small/15519.jpg")</f>
        <v>0.0</v>
      </c>
      <c r="F1935" s="2" t="inlineStr">
        <is>
          <t>5999084935535</t>
        </is>
      </c>
      <c r="G1935" s="4" t="inlineStr">
        <is>
          <t>A SAI 600USB feszültségátalakító hálózati feszültséget állít elő, ha rendelkezésére áll 12 V. Előnye, hogy alkalmazható járműben, hajón, kempingben. Kb.300 W folyamatos terhelhetőség, illetve 600 W csúcsterhelhetőség jellemzi. A készüléken USB töltőaljzat is található. A hálózati aljzat gyermekzárral van ellátva. Válassza a minőségi termékeket és rendeljen webáruházunkból!</t>
        </is>
      </c>
    </row>
    <row r="1936">
      <c r="A1936" s="3" t="inlineStr">
        <is>
          <t>SAI 2000USB</t>
        </is>
      </c>
      <c r="B1936" s="2" t="inlineStr">
        <is>
          <t>SAL SAI 2000USB feszültségátalakító, 1000 W, inverter, 500 mA USB töltő, gyermekzár</t>
        </is>
      </c>
      <c r="C1936" s="1" t="n">
        <v>38990.0</v>
      </c>
      <c r="D1936" s="7" t="n">
        <f>HYPERLINK("https://www.somogyi.hu/product/sal-sai-2000usb-feszultsegatalakito-1000-w-inverter-500-ma-usb-tolto-gyermekzar-sai-2000usb-15521","https://www.somogyi.hu/product/sal-sai-2000usb-feszultsegatalakito-1000-w-inverter-500-ma-usb-tolto-gyermekzar-sai-2000usb-15521")</f>
        <v>0.0</v>
      </c>
      <c r="E1936" s="7" t="n">
        <f>HYPERLINK("https://www.somogyi.hu/data/img/product_main_images/small/15521.jpg","https://www.somogyi.hu/data/img/product_main_images/small/15521.jpg")</f>
        <v>0.0</v>
      </c>
      <c r="F1936" s="2" t="inlineStr">
        <is>
          <t>5999084935559</t>
        </is>
      </c>
      <c r="G1936" s="4" t="inlineStr">
        <is>
          <t>A SAI 2000USB feszültségátalakító hálózati feszültséget állít elő, ha rendelkezésére áll 12 V. Előnye, hogy alkalmazható járműben, hajón, kempingben. Kb.1000 W folyamatos terhelhetőség, illetve 2000 W csúcsterhelhetőség jellemzi. A készüléken USB töltőaljzat is található. A hálózati aljzat gyermekzárral van ellátva. Válassza a minőségi termékeket és rendeljen webáruházunkból!</t>
        </is>
      </c>
    </row>
    <row r="1937">
      <c r="A1937" s="3" t="inlineStr">
        <is>
          <t>SAI 500TS</t>
        </is>
      </c>
      <c r="B1937" s="2" t="inlineStr">
        <is>
          <t>SAL SAI 500TS tiszta szinuszos feszültségátalakító, 500 W, inverter, 2,1 A USB gyorstöltő, gyermekzár</t>
        </is>
      </c>
      <c r="C1937" s="1" t="n">
        <v>46990.0</v>
      </c>
      <c r="D1937" s="7" t="n">
        <f>HYPERLINK("https://www.somogyi.hu/product/sal-sai-500ts-tiszta-szinuszos-feszultsegatalakito-500-w-inverter-2-1-a-usb-gyorstolto-gyermekzar-sai-500ts-17499","https://www.somogyi.hu/product/sal-sai-500ts-tiszta-szinuszos-feszultsegatalakito-500-w-inverter-2-1-a-usb-gyorstolto-gyermekzar-sai-500ts-17499")</f>
        <v>0.0</v>
      </c>
      <c r="E1937" s="7" t="n">
        <f>HYPERLINK("https://www.somogyi.hu/data/img/product_main_images/small/17499.jpg","https://www.somogyi.hu/data/img/product_main_images/small/17499.jpg")</f>
        <v>0.0</v>
      </c>
      <c r="F1937" s="2" t="inlineStr">
        <is>
          <t>5999084955212</t>
        </is>
      </c>
      <c r="G1937" s="4" t="inlineStr">
        <is>
          <t>A SAI 500TS Feszültség átalakító tiszta szinuszos hálózati feszültséget állít elő, ha rendelkezésre áll 12 V DC. Előnye, hogy alkalmazható járműben, hajón, kempingben. Kb.500 W folyamatos terhelhetőség, illetve 1000 W csúcsterhelhetőség jellemzi. Motoros és érzékeny berendezésekhez is ideális.
A feszültség átalakító túlterhelés ellen, túlmelegedés ellen, túlfeszültség ellen és rövidzárlat ellen és akkumulátor kimerülés elleni védelemmel ellátott. 
A készüléken USB gyorstöltő aljzat is található, valamint a hálózati aljzat gyermekzárral felszerelt.</t>
        </is>
      </c>
    </row>
    <row r="1938">
      <c r="A1938" s="3" t="inlineStr">
        <is>
          <t>SMC20</t>
        </is>
      </c>
      <c r="B1938" s="2" t="inlineStr">
        <is>
          <t>Home SMC20 SMART akkumulátortöltő, 6-12V/2A, LCD kijelző, teljesen automatikus, minden elterjedt akkutípushoz, digitális kijelző, karbantartó töltés, kétféle csatlakozókábel</t>
        </is>
      </c>
      <c r="C1938" s="1" t="n">
        <v>15690.0</v>
      </c>
      <c r="D1938" s="7" t="n">
        <f>HYPERLINK("https://www.somogyi.hu/product/home-smc20-smart-akkumulatortolto-6-12v-2a-lcd-kijelzo-teljesen-automatikus-minden-elterjedt-akkutipushoz-digitalis-kijelzo-karbantarto-toltes-ketfele-csatlakozokabel-smc20-18715","https://www.somogyi.hu/product/home-smc20-smart-akkumulatortolto-6-12v-2a-lcd-kijelzo-teljesen-automatikus-minden-elterjedt-akkutipushoz-digitalis-kijelzo-karbantarto-toltes-ketfele-csatlakozokabel-smc20-18715")</f>
        <v>0.0</v>
      </c>
      <c r="E1938" s="7" t="n">
        <f>HYPERLINK("https://www.somogyi.hu/data/img/product_main_images/small/18715.jpg","https://www.somogyi.hu/data/img/product_main_images/small/18715.jpg")</f>
        <v>0.0</v>
      </c>
      <c r="F1938" s="2" t="inlineStr">
        <is>
          <t>5999084967338</t>
        </is>
      </c>
      <c r="G1938" s="4" t="inlineStr">
        <is>
          <t>Szeretne megbízhatóan és biztonságosan tölteni különféle akkumulátorokat? A Home SMC20 SMART akkumulátortöltő ideális megoldás a 6V és 12V akkumulátorokhoz, beleértve a hagyományos ólom-savas, zárt, gondozásmentes, zselés vagy üvegszövet típusokat, valamint a legújabb Li-ion és LiFePO4 típusokat is. 
A manuális típuskiválasztás és az automatikus SMART töltőprogramok biztosítják az akkumulátorok optimális és kíméletes töltését. Ez a töltő kisáramú, 2A-es töltést kínál, amely kíméli az akkumulátort, és fenntartó, karbantartó, regeneráló töltést is biztosít. Az SMC20 érzékeli a szulfátosodást és savas rétegződést, majd helyreállítja az elveszett kapacitást a 12V ólom-savas akkumulátoroknál. Az eszköz memória funkcióval rendelkezik áramszünet esetére, így a beállítások nem vesznek el.
A cserélhető töltő-csatlakozó (csipesz vagy gyűrűs) és az áttekinthető LCD kijelző Voltmérővel tovább növeli a kényelmet és a használhatóságot. Az IP65 védelemnek köszönhetően por- és vízálló, így a legzordabb körülmények között is megbízhatóan működik. A töltő további biztonsági funkciói közé tartozik a fordított polaritás elleni védelem, rövidzárlat elleni védelem, túltöltés elleni védelem, túlmelegedés elleni védelem, hibás akkumulátor elleni védelem, és az időtúllépés elleni védelem.
Ne habozzon, válassza a Home SMC20 SMART akkumulátortöltőt, és biztosítsa akkumulátorai hosszú élettartamát és megbízható működését! Rendelje meg most, és élvezze a professzionális töltés előnyeit otthonában vagy munkahelyén!</t>
        </is>
      </c>
    </row>
    <row r="1939">
      <c r="A1939" s="3" t="inlineStr">
        <is>
          <t>SAI 1000USB</t>
        </is>
      </c>
      <c r="B1939" s="2" t="inlineStr">
        <is>
          <t>SAL SAI 1000USB feszültségátalakító, 500 W, inverter, 500 mA USB töltő, gyermekzár</t>
        </is>
      </c>
      <c r="C1939" s="1" t="n">
        <v>22690.0</v>
      </c>
      <c r="D1939" s="7" t="n">
        <f>HYPERLINK("https://www.somogyi.hu/product/sal-sai-1000usb-feszultsegatalakito-500-w-inverter-500-ma-usb-tolto-gyermekzar-sai-1000usb-15520","https://www.somogyi.hu/product/sal-sai-1000usb-feszultsegatalakito-500-w-inverter-500-ma-usb-tolto-gyermekzar-sai-1000usb-15520")</f>
        <v>0.0</v>
      </c>
      <c r="E1939" s="7" t="n">
        <f>HYPERLINK("https://www.somogyi.hu/data/img/product_main_images/small/15520.jpg","https://www.somogyi.hu/data/img/product_main_images/small/15520.jpg")</f>
        <v>0.0</v>
      </c>
      <c r="F1939" s="2" t="inlineStr">
        <is>
          <t>5999084935542</t>
        </is>
      </c>
      <c r="G1939" s="4" t="inlineStr">
        <is>
          <t>Szeretne áramot még ott is, ahol csak a járműve 12V-os aljzata érhető el? A SAL SAI 1000USB feszültségátalakító a tökéletes megoldás azok számára, akik úton vannak, és nem akarnak lemondani az elektromos készülékeik használatáról. Ez az eszköz 12 V DC-t alakít át 230 V AC-ra (50Hz), így kirándulásokon, hajóutakon vagy kempingezés közben is biztosítja a szükséges hálózati áramellátást.
Az 500 wattos folyamatos és 1000 wattos csúcsterhelhetőségével a SAL SAI 1000USB tökéletes választás különböző elektromos eszközök, mint például laptopok vagy kisebb háztartási gépek üzemeltetésére. Biztonsági funkciói, mint a túlterhelés, túlmelegedés, rövidzárlat és akkumulátor kimerülése elleni védelem, garantálják, hogy készülékei mindig biztonságban legyenek. A gyermekzár funkció gondoskodik arról, hogy a legkisebbek is biztonságban maradjanak.
Az integrált USB töltőaljzat segítségével kisebb eszközei, mint a mobiltelefonok vagy a táblagépek is közvetlenül tölthetőek. A SAL SAI 1000USB feszültségátalakítóval nem kell kompromisszumot kötnie a mobil életmód és az elektromos kényelem között. Vigye magával az energiát, bárhová is megy!</t>
        </is>
      </c>
    </row>
    <row r="1940">
      <c r="A1940" s="3" t="inlineStr">
        <is>
          <t>SAIC1000TS</t>
        </is>
      </c>
      <c r="B1940" s="2" t="inlineStr">
        <is>
          <t>SAL SAIC1000TS feszültségátalakító, ~1000 W névleges telj., tiszta szinuszos, 2 védőérintkezős aljzat, szünetmentes tápegység, USB, visszajelző LED, lágyindítás</t>
        </is>
      </c>
      <c r="C1940" s="1" t="n">
        <v>85790.0</v>
      </c>
      <c r="D1940" s="7" t="n">
        <f>HYPERLINK("https://www.somogyi.hu/product/sal-saic1000ts-feszultsegatalakito-1000-w-nevleges-telj-tiszta-szinuszos-2-vedoerintkezos-aljzat-szunetmentes-tapegyseg-usb-visszajelzo-led-lagyinditas-saic1000ts-18409","https://www.somogyi.hu/product/sal-saic1000ts-feszultsegatalakito-1000-w-nevleges-telj-tiszta-szinuszos-2-vedoerintkezos-aljzat-szunetmentes-tapegyseg-usb-visszajelzo-led-lagyinditas-saic1000ts-18409")</f>
        <v>0.0</v>
      </c>
      <c r="E1940" s="7" t="n">
        <f>HYPERLINK("https://www.somogyi.hu/data/img/product_main_images/small/18409.jpg","https://www.somogyi.hu/data/img/product_main_images/small/18409.jpg")</f>
        <v>0.0</v>
      </c>
      <c r="F1940" s="2" t="inlineStr">
        <is>
          <t>5999084964276</t>
        </is>
      </c>
      <c r="G1940" s="4" t="inlineStr">
        <is>
          <t>Egy megbízható megoldást keres, hogy 12V DC-t 230V AC feszültséggé alakítsa tiszta szinuszos formában? Az Home SAIC1000TS feszültségátalakítóval mindez könnyedén megoldható. Ez a készülék ideális választás érzékeny elektronikai berendezések, mint például fűtési keringtető szivattyúk tápellátásához, legyen szó járműről, hajóról vagy kempingezésről.
A feszültségátalakítóval rendelkezésre áll két védőérintkezős hálózati aljzat, valamint egy beépített, három lépcsős akkumulátortöltő, biztosítva a stabil és közel szünetmentes tápegységet. Áramszünet esetén automatikusan akkumulátoros módra vált, és a hálózati áram helyreállása után visszakapcsol. Az előlapi USB aljzat (5V / 2,5A) lehetővé teszi mobil eszközeinek kényelmes töltését.
Ez a magas teljesítményű, ~1000 Watt névleges terhelhetőségű feszültségátalakító digitális kijelzővel rendelkezik, amelyen nyomon követhető az akkumulátor DC feszültsége és a kimenő AC feszültség. A kétszínű LED-ek azonnali visszajelzést adnak a működési és töltési állapotról, míg a lágyindítás funkció, a túlterhelés, a túlmelegedés, a rövidzárlat, a túlfeszültség és az akkumulátor kimerülése elleni védelem gondoskodik a biztonságos használatról.
Az Home SAIC1000TS nem csak a magas minőségű és megbízható energiaellátást garantálja, hanem a biztonságos használatot is, köszönhetően a gyermekzár funkciós hálózati aljzatnak. Tegyen egy lépést a zökkenőmentes és biztonságos energiaellátás felé ezzel a kompakt, könnyen kezelhető feszültségátalakítóval.</t>
        </is>
      </c>
    </row>
    <row r="1941">
      <c r="A1941" s="6" t="inlineStr">
        <is>
          <t xml:space="preserve">   Jármű, járműfelszerelés / Elektromos csatlakozó</t>
        </is>
      </c>
      <c r="B1941" s="6" t="inlineStr">
        <is>
          <t/>
        </is>
      </c>
      <c r="C1941" s="6" t="inlineStr">
        <is>
          <t/>
        </is>
      </c>
      <c r="D1941" s="6" t="inlineStr">
        <is>
          <t/>
        </is>
      </c>
      <c r="E1941" s="6" t="inlineStr">
        <is>
          <t/>
        </is>
      </c>
      <c r="F1941" s="6" t="inlineStr">
        <is>
          <t/>
        </is>
      </c>
      <c r="G1941" s="6" t="inlineStr">
        <is>
          <t/>
        </is>
      </c>
    </row>
    <row r="1942">
      <c r="A1942" s="3" t="inlineStr">
        <is>
          <t>94838</t>
        </is>
      </c>
      <c r="B1942" s="2" t="inlineStr">
        <is>
          <t>SAL 94838 szivargyújtó hosszabbító, 10A biztosíték, 4m</t>
        </is>
      </c>
      <c r="C1942" s="1" t="n">
        <v>3390.0</v>
      </c>
      <c r="D1942" s="7" t="n">
        <f>HYPERLINK("https://www.somogyi.hu/product/sal-94838-szivargyujto-hosszabbito-10a-biztositek-4m-94838-14877","https://www.somogyi.hu/product/sal-94838-szivargyujto-hosszabbito-10a-biztositek-4m-94838-14877")</f>
        <v>0.0</v>
      </c>
      <c r="E1942" s="7" t="n">
        <f>HYPERLINK("https://www.somogyi.hu/data/img/product_main_images/small/14877.jpg","https://www.somogyi.hu/data/img/product_main_images/small/14877.jpg")</f>
        <v>0.0</v>
      </c>
      <c r="F1942" s="2" t="inlineStr">
        <is>
          <t>8586017594838</t>
        </is>
      </c>
      <c r="G1942" s="4" t="inlineStr">
        <is>
          <t>Nehezen éri el autójában a szivargyújtót csatlakozóval rendelkező eszközeihez? A SAL 94838 szivargyújtó hosszabbító segítségével bármilyen 12-24 V feszültséggel működő eszközt kényelmesen csatlakoztathat, akár a hátsó ülésekről is. 
A spirálvezeték rugalmas és helytakarékos kialakítású, így nem akadályozza a vezetést, mégis szükség esetén akár 4 méteres távolságot is biztosít. A piros LED jelzőlámpa mindig visszajelzést ad a csatlakoztatott eszköz működéséről, míg a 10 A biztosíték gondoskodik az áramkör védelméről, így megelőzve a túláramot és az eszközök sérülését.
Válassza a SAL 94838 szivargyújtó hosszabbítót, hogy autójában bárhol használhassa készülékeit egyszerűen és biztonságosan!</t>
        </is>
      </c>
    </row>
    <row r="1943">
      <c r="A1943" s="3" t="inlineStr">
        <is>
          <t>91998</t>
        </is>
      </c>
      <c r="B1943" s="2" t="inlineStr">
        <is>
          <t>SAL 91998 szivargyújtó lengődugó, F8A biztosíték, kapcsolható, forrasztandó</t>
        </is>
      </c>
      <c r="C1943" s="1" t="n">
        <v>2390.0</v>
      </c>
      <c r="D1943" s="7" t="n">
        <f>HYPERLINK("https://www.somogyi.hu/product/sal-91998-szivargyujto-lengodugo-f8a-biztositek-kapcsolhato-forrasztando-91998-13858","https://www.somogyi.hu/product/sal-91998-szivargyujto-lengodugo-f8a-biztositek-kapcsolhato-forrasztando-91998-13858")</f>
        <v>0.0</v>
      </c>
      <c r="E1943" s="7" t="n">
        <f>HYPERLINK("https://www.somogyi.hu/data/img/product_main_images/small/13858.jpg","https://www.somogyi.hu/data/img/product_main_images/small/13858.jpg")</f>
        <v>0.0</v>
      </c>
      <c r="F1943" s="2" t="inlineStr">
        <is>
          <t>8586017591998</t>
        </is>
      </c>
      <c r="G1943" s="4" t="inlineStr">
        <is>
          <t>Hogyan óvhatja meg készülékeit, miközben a járművében használja azokat?  A SAL 91998 szivargyújtó lengődugó nemcsak egyszerű csatlakoztatási lehetőséget biztosít, hanem gondoskodik a csatlakoztatott eszközök biztonságáról is. 
Beépített világító billenőkapcsolójának köszönhetően könnyedén vezérelhető, így azonnal be- vagy kikapcsolhatja a készülékeket, akár sötétben is. A 12-24 V feszültséggel kompatibilis, tehát széles körben alkalmazható, legyen szó személyautóról vagy teherautóról. Továbbá forrasztandó kialakítása lehetővé teszi a stabil és megbízható csatlakoztatást. Az eszköz biztosíték aljzattal és F 8A (∅5 x 20 mm) biztosítékkal van ellátva, így hatékonyan védi az elektromos rendszereket túláram esetén.
Válassza a SAL 91998 szivargyújtó lengődugót, hogy kényelmesen és biztonságosan használhassa készülékeit az autóban, és kerülje el a váratlan meghibásodásokat!</t>
        </is>
      </c>
    </row>
    <row r="1944">
      <c r="A1944" s="3" t="inlineStr">
        <is>
          <t>SS 1116/P</t>
        </is>
      </c>
      <c r="B1944" s="2" t="inlineStr">
        <is>
          <t>SAL SS 1116/P akkumulátor-csatlakozó, pozitív pólus, M8 csavar, 16mm alátét, titánium</t>
        </is>
      </c>
      <c r="C1944" s="1" t="n">
        <v>2790.0</v>
      </c>
      <c r="D1944" s="7" t="n">
        <f>HYPERLINK("https://www.somogyi.hu/product/sal-ss-1116-p-akkumulator-csatlakozo-pozitiv-polus-m8-csavar-16mm-alatet-titanium-ss-1116-p-4624","https://www.somogyi.hu/product/sal-ss-1116-p-akkumulator-csatlakozo-pozitiv-polus-m8-csavar-16mm-alatet-titanium-ss-1116-p-4624")</f>
        <v>0.0</v>
      </c>
      <c r="E1944" s="7" t="n">
        <f>HYPERLINK("https://www.somogyi.hu/data/img/product_main_images/small/04624.jpg","https://www.somogyi.hu/data/img/product_main_images/small/04624.jpg")</f>
        <v>0.0</v>
      </c>
      <c r="F1944" s="2" t="inlineStr">
        <is>
          <t>5998312740804</t>
        </is>
      </c>
      <c r="G1944" s="4" t="inlineStr">
        <is>
          <t>Az SS 1116/P egy masszív kialakítással rendelkező praktikus autóakkumulátor csatlakozó. A termék 
negatív pólusa (P). A megbízható kontaktusra garancia, hogy a csatlakozó titánium és aranyozott csavarokkal rendelkezik. Kimenete: 2 x 10 mm² + m8 csavar ∅16 mm alátéttel. Válassza a minőségi termékeket és rendeljen webáruházunkból.</t>
        </is>
      </c>
    </row>
    <row r="1945">
      <c r="A1945" s="3" t="inlineStr">
        <is>
          <t>SA 022</t>
        </is>
      </c>
      <c r="B1945" s="2" t="inlineStr">
        <is>
          <t>SAL SA 022 szivargyújtó elosztó, 2 készülék, max. 5A</t>
        </is>
      </c>
      <c r="C1945" s="1" t="n">
        <v>2390.0</v>
      </c>
      <c r="D1945" s="7" t="n">
        <f>HYPERLINK("https://www.somogyi.hu/product/sal-sa-022-szivargyujto-eloszto-2-keszulek-max-5a-sa-022-8544","https://www.somogyi.hu/product/sal-sa-022-szivargyujto-eloszto-2-keszulek-max-5a-sa-022-8544")</f>
        <v>0.0</v>
      </c>
      <c r="E1945" s="7" t="n">
        <f>HYPERLINK("https://www.somogyi.hu/data/img/product_main_images/small/08544.jpg","https://www.somogyi.hu/data/img/product_main_images/small/08544.jpg")</f>
        <v>0.0</v>
      </c>
      <c r="F1945" s="2" t="inlineStr">
        <is>
          <t>5998312774397</t>
        </is>
      </c>
      <c r="G1945" s="4" t="inlineStr">
        <is>
          <t>Keresse Ön is a praktikus kialakítású SA 022-es autós feszültségelosztót. Előnye, hogy egyidejűleg két készülék működtetését is lehetővé teszi. A feszültségelosztó működését egy LED visszajelző mutatja. Bemenete: 12 V DC. Kimenete: 2 x 12 V DC / max. 5 A. Válassza a minőségi termékeket és rendeljen webáruházunkból.</t>
        </is>
      </c>
    </row>
    <row r="1946">
      <c r="A1946" s="3" t="inlineStr">
        <is>
          <t>SS 1116/N</t>
        </is>
      </c>
      <c r="B1946" s="2" t="inlineStr">
        <is>
          <t>SAL SS 1116/N akkumulátor-csatlakozó, negatív pólus, M8 csavar, 16mm alátét, titánium</t>
        </is>
      </c>
      <c r="C1946" s="1" t="n">
        <v>2790.0</v>
      </c>
      <c r="D1946" s="7" t="n">
        <f>HYPERLINK("https://www.somogyi.hu/product/sal-ss-1116-n-akkumulator-csatlakozo-negativ-polus-m8-csavar-16mm-alatet-titanium-ss-1116-n-4623","https://www.somogyi.hu/product/sal-ss-1116-n-akkumulator-csatlakozo-negativ-polus-m8-csavar-16mm-alatet-titanium-ss-1116-n-4623")</f>
        <v>0.0</v>
      </c>
      <c r="E1946" s="7" t="n">
        <f>HYPERLINK("https://www.somogyi.hu/data/img/product_main_images/small/04623.jpg","https://www.somogyi.hu/data/img/product_main_images/small/04623.jpg")</f>
        <v>0.0</v>
      </c>
      <c r="F1946" s="2" t="inlineStr">
        <is>
          <t>5998312740798</t>
        </is>
      </c>
      <c r="G1946" s="4" t="inlineStr">
        <is>
          <t>Az SS 1116/N egy masszív kialakítással rendelkező praktikus autóakkumulátor csatlakozó. A termék 
negatív pólusra (N). A megbízható kontaktusra garancia, hogy a csatlakozó titánium és aranyozott csavarokkal rendelkezik. Kimenete: 2 x 10 mm² + m8 csavar ∅16 mm alátéttel. Válassza a minőségi termékeket és rendeljen webáruházunkból.</t>
        </is>
      </c>
    </row>
    <row r="1947">
      <c r="A1947" s="3" t="inlineStr">
        <is>
          <t>90779</t>
        </is>
      </c>
      <c r="B1947" s="2" t="inlineStr">
        <is>
          <t>SAL 90779 utánfutó csatlakozóaljzat, 7 pólus, védőfedél, 70mm átmérő</t>
        </is>
      </c>
      <c r="C1947" s="1" t="n">
        <v>2290.0</v>
      </c>
      <c r="D1947" s="7" t="n">
        <f>HYPERLINK("https://www.somogyi.hu/product/sal-90779-utanfuto-csatlakozoaljzat-7-polus-vedofedel-70mm-atmero-90779-13820","https://www.somogyi.hu/product/sal-90779-utanfuto-csatlakozoaljzat-7-polus-vedofedel-70mm-atmero-90779-13820")</f>
        <v>0.0</v>
      </c>
      <c r="E1947" s="7" t="n">
        <f>HYPERLINK("https://www.somogyi.hu/data/img/product_main_images/small/13820.jpg","https://www.somogyi.hu/data/img/product_main_images/small/13820.jpg")</f>
        <v>0.0</v>
      </c>
      <c r="F1947" s="2" t="inlineStr">
        <is>
          <t>8586017590779</t>
        </is>
      </c>
      <c r="G1947" s="4" t="inlineStr">
        <is>
          <t>Hogyan biztosíthatja az utánfutó és a jármű közötti zavartalan elektromos kapcsolatot, miközben védi a csatlakozókat a külső hatásoktól? A SAL 90779 utánfutó csatlakozóaljzat a tökéletes megoldás, ha biztonságos, tartós és könnyen használható csatlakozóaljzatra van szüksége.
Ez a 7 pólusú aljzat széles körben kompatibilis különféle járművekkel és utánfutókkal, biztosítva a megfelelő csatlakoztatást a világítási és egyéb elektromos rendszerekhez. A rugós védőfedél automatikusan záródik, amikor nincs használatban, így megvédi a csatlakozókat a szennyeződésektől és az időjárás viszontagságaitól. A 70 mm-es átmérőjű kialakítás lehetővé teszi a könnyű szerelést és biztos csatlakoztatást, miközben a 12 V-os feszültség stabil energiaellátást nyújt a különböző elektromos rendszereknek. Ez a strapabíró csatlakozóaljzat kiváló választás, ha hosszú távú megoldást keres az utánfutó elektromos csatlakoztatásához.
Válassza a SAL 90779 csatlakozóaljzatot, és gondoskodjon róla, hogy utazás közben minden elektromos kapcsolat biztonságosan és megbízhatóan működjön!</t>
        </is>
      </c>
    </row>
    <row r="1948">
      <c r="A1948" s="3" t="inlineStr">
        <is>
          <t>97242</t>
        </is>
      </c>
      <c r="B1948" s="2" t="inlineStr">
        <is>
          <t>SAL 97242 indítókábel, max. 600A, 4m</t>
        </is>
      </c>
      <c r="C1948" s="1" t="n">
        <v>11590.0</v>
      </c>
      <c r="D1948" s="7" t="n">
        <f>HYPERLINK("https://www.somogyi.hu/product/sal-97242-inditokabel-max-600a-4m-97242-17705","https://www.somogyi.hu/product/sal-97242-inditokabel-max-600a-4m-97242-17705")</f>
        <v>0.0</v>
      </c>
      <c r="E1948" s="7" t="n">
        <f>HYPERLINK("https://www.somogyi.hu/data/img/product_main_images/small/17705.jpg","https://www.somogyi.hu/data/img/product_main_images/small/17705.jpg")</f>
        <v>0.0</v>
      </c>
      <c r="F1948" s="2" t="inlineStr">
        <is>
          <t>8586017597242</t>
        </is>
      </c>
      <c r="G1948" s="4" t="inlineStr">
        <is>
          <t>Miért kockáztatna egy váratlanul lemerült akkumulátorral? A SAL 97242 indítókábel megbízható megoldást nyújt, ha autóját újra kell indítani, legyen szó személyautóról, teherautóról vagy más 12-24 V-os járműről. 
Maximális 600 A terhelhetőségével gyors és biztonságos indítást biztosít, még hideg időjárási körülmények között is. A 4 méter hosszúságú, 6,00 mm²-es keresztmetszetű kábel rugalmasságot kínál, hogy kényelmesen elérhesse a járművek akkumulátorait. A 99%-os minőségi rézvezetők pedig a kiváló vezetőképességet garantálják, így biztosítva a hatékony energiaátvitelt. A termék praktikus hordtáskában érkezik, így mindig kéznél tartható és könnyen szállítható.
Válassza a SAL 97242 indítókábelt, hogy felkészülten nézhessen szembe minden váratlan helyzettel, és biztosítsa járműve azonnali indítását bármikor!</t>
        </is>
      </c>
    </row>
    <row r="1949">
      <c r="A1949" s="3" t="inlineStr">
        <is>
          <t>WS 20</t>
        </is>
      </c>
      <c r="B1949" s="2" t="inlineStr">
        <is>
          <t>SAL WS 20 szivargyújtó lengődugó, F3A biztosíték</t>
        </is>
      </c>
      <c r="C1949" s="1" t="n">
        <v>589.0</v>
      </c>
      <c r="D1949" s="7" t="n">
        <f>HYPERLINK("https://www.somogyi.hu/product/sal-ws-20-szivargyujto-lengodugo-f3a-biztositek-ws-20-4219","https://www.somogyi.hu/product/sal-ws-20-szivargyujto-lengodugo-f3a-biztositek-ws-20-4219")</f>
        <v>0.0</v>
      </c>
      <c r="E1949" s="7" t="n">
        <f>HYPERLINK("https://www.somogyi.hu/data/img/product_main_images/small/04219.jpg","https://www.somogyi.hu/data/img/product_main_images/small/04219.jpg")</f>
        <v>0.0</v>
      </c>
      <c r="F1949" s="2" t="inlineStr">
        <is>
          <t>5998312737521</t>
        </is>
      </c>
      <c r="G1949" s="4" t="inlineStr">
        <is>
          <t>A WS 20 egy lengődugó biztosítékkal ellátott szivargyújtó, amely biztosíték aljzattal és F 3A (∅6x30 mm) biztosítékkal rendelkezik. Feszültsége. 12 V DC. Válassza a minőségi termékeket és rendeljen webáruházunkból.</t>
        </is>
      </c>
    </row>
    <row r="1950">
      <c r="A1950" s="3" t="inlineStr">
        <is>
          <t>WS 11</t>
        </is>
      </c>
      <c r="B1950" s="2" t="inlineStr">
        <is>
          <t>SAL WS 11 szivargyújtó lengőaljzat, autós porszívó, hűtőláda</t>
        </is>
      </c>
      <c r="C1950" s="1" t="n">
        <v>639.0</v>
      </c>
      <c r="D1950" s="7" t="n">
        <f>HYPERLINK("https://www.somogyi.hu/product/sal-ws-11-szivargyujto-lengoaljzat-autos-porszivo-hutolada-ws-11-2364","https://www.somogyi.hu/product/sal-ws-11-szivargyujto-lengoaljzat-autos-porszivo-hutolada-ws-11-2364")</f>
        <v>0.0</v>
      </c>
      <c r="E1950" s="7" t="n">
        <f>HYPERLINK("https://www.somogyi.hu/data/img/product_main_images/small/02364.jpg","https://www.somogyi.hu/data/img/product_main_images/small/02364.jpg")</f>
        <v>0.0</v>
      </c>
      <c r="F1950" s="2" t="inlineStr">
        <is>
          <t>5998312726709</t>
        </is>
      </c>
      <c r="G1950" s="4" t="inlineStr">
        <is>
          <t>A WS 11 szivargyújtó lengőaljzat ideális hosszabbítóhoz, valamint alkalmas autós porszívóhoz, hűtőládához egyaránt. Feszültsége: 12 V DC. Válassza a minőségi termékeket és rendeljen webáruházunkból.</t>
        </is>
      </c>
    </row>
    <row r="1951">
      <c r="A1951" s="3" t="inlineStr">
        <is>
          <t>90762</t>
        </is>
      </c>
      <c r="B1951" s="2" t="inlineStr">
        <is>
          <t>SAL 90762 utánfutó lengő csatlakozódugó, 7 pólus, törésgátló</t>
        </is>
      </c>
      <c r="C1951" s="1" t="n">
        <v>2290.0</v>
      </c>
      <c r="D1951" s="7" t="n">
        <f>HYPERLINK("https://www.somogyi.hu/product/sal-90762-utanfuto-lengo-csatlakozodugo-7-polus-toresgatlo-90762-13819","https://www.somogyi.hu/product/sal-90762-utanfuto-lengo-csatlakozodugo-7-polus-toresgatlo-90762-13819")</f>
        <v>0.0</v>
      </c>
      <c r="E1951" s="7" t="n">
        <f>HYPERLINK("https://www.somogyi.hu/data/img/product_main_images/small/13819.jpg","https://www.somogyi.hu/data/img/product_main_images/small/13819.jpg")</f>
        <v>0.0</v>
      </c>
      <c r="F1951" s="2" t="inlineStr">
        <is>
          <t>8586017590762</t>
        </is>
      </c>
      <c r="G1951" s="4" t="inlineStr">
        <is>
          <t>Felmerült már Önben az a kérdés, hogy miként biztosíthatja az utánfutó és a jármű közötti megbízható elektromos kapcsolatot? A SAL 90762 lengő csatlakozódugó pontosan ezt nyújtja, a biztonságos és tartós megoldást az utánfutók és járművek összekapcsolásához.
Ez a 7 pólusú csatlakozódugó maximális kompatibilitást biztosít a legtöbb jármű és utánfutó között. A beépített kábel törésgátló megvédi a terméket a gyakori hajlások okozta sérülésektől, így hosszabb élettartamot garantál. A dugó 12 V-os feszültségen működik, biztosítva a stabil és zavartalan áramellátást az utánfutó lámpáinak és egyéb elektromos rendszereinek.
A SAL 90762 csatlakozódugó könnyen szerelhető és tartós, így ideális választás mindennapi használatra is, akár személyautóval, akár munkajárművel húz utánfutót.
Válassza a SAL 90762 lengő csatlakozódugót, és élvezze a nyugodt vezetést és biztonságos csatlakoztatást minden út során!</t>
        </is>
      </c>
    </row>
    <row r="1952">
      <c r="A1952" s="6" t="inlineStr">
        <is>
          <t xml:space="preserve">   Jármű, járműfelszerelés / Antenna, antennakábel-hosszabbító</t>
        </is>
      </c>
      <c r="B1952" s="6" t="inlineStr">
        <is>
          <t/>
        </is>
      </c>
      <c r="C1952" s="6" t="inlineStr">
        <is>
          <t/>
        </is>
      </c>
      <c r="D1952" s="6" t="inlineStr">
        <is>
          <t/>
        </is>
      </c>
      <c r="E1952" s="6" t="inlineStr">
        <is>
          <t/>
        </is>
      </c>
      <c r="F1952" s="6" t="inlineStr">
        <is>
          <t/>
        </is>
      </c>
      <c r="G1952" s="6" t="inlineStr">
        <is>
          <t/>
        </is>
      </c>
    </row>
    <row r="1953">
      <c r="A1953" s="3" t="inlineStr">
        <is>
          <t>93220</t>
        </is>
      </c>
      <c r="B1953" s="2" t="inlineStr">
        <is>
          <t>SAL 93220 autóantenna erősítővel, tetőre, VW Golf, M5 csavar, DIN csatlakozó, 400 mm, 52°, gumi burkolat</t>
        </is>
      </c>
      <c r="C1953" s="1" t="n">
        <v>3490.0</v>
      </c>
      <c r="D1953" s="7" t="n">
        <f>HYPERLINK("https://www.somogyi.hu/product/sal-93220-autoantenna-erositovel-tetore-vw-golf-m5-csavar-din-csatlakozo-400-mm-52-gumi-burkolat-93220-13832","https://www.somogyi.hu/product/sal-93220-autoantenna-erositovel-tetore-vw-golf-m5-csavar-din-csatlakozo-400-mm-52-gumi-burkolat-93220-13832")</f>
        <v>0.0</v>
      </c>
      <c r="E1953" s="7" t="n">
        <f>HYPERLINK("https://www.somogyi.hu/data/img/product_main_images/small/13832.jpg","https://www.somogyi.hu/data/img/product_main_images/small/13832.jpg")</f>
        <v>0.0</v>
      </c>
      <c r="F1953" s="2" t="inlineStr">
        <is>
          <t>8586017593220</t>
        </is>
      </c>
      <c r="G1953" s="4" t="inlineStr">
        <is>
          <t>Gyenge a rádiójel az autójában? A SAL 90557 autóantennával azonnal javíthatja a rádióvételt, így elfelejtheti a szakadozó jeleket és a statikus zörejeket. 
A beépített erősítő garantálja a tiszta, zavartalan hangzást, még a gyengébb vételi környezetekben is. Csepp alakú talpa és ∅5 mm-es csavarja könnyű telepítést biztosít, így tetőre szerelhető. A 440 mm hosszú antenna 0-45°-os szögben dönthető, így a lehető legjobb pozícióba állítható. Tartós, gumi burkolata ellenáll az időjárás viszontagságainak, míg a 2 méteres kábel és DIN csatlakozódugó egyszerű és gyors csatlakozást tesz lehetővé.
Ne engedje, hogy a rossz vétel megzavarja az utazás élményét – válassza a SAL 90557 autóantennát, és élvezze a zavartalan rádiózást bárhol, bármikor!</t>
        </is>
      </c>
    </row>
    <row r="1954">
      <c r="A1954" s="3" t="inlineStr">
        <is>
          <t>90595</t>
        </is>
      </c>
      <c r="B1954" s="2" t="inlineStr">
        <is>
          <t>SAL 90557 autóantenna tetőre, VW Golf, M5 csavar, DIN csatlakozó, 400 mm, 52°, gumi burkolat</t>
        </is>
      </c>
      <c r="C1954" s="1" t="n">
        <v>2890.0</v>
      </c>
      <c r="D1954" s="7" t="n">
        <f>HYPERLINK("https://www.somogyi.hu/product/sal-90557-autoantenna-tetore-vw-golf-m5-csavar-din-csatlakozo-400-mm-52-gumi-burkolat-90595-13821","https://www.somogyi.hu/product/sal-90557-autoantenna-tetore-vw-golf-m5-csavar-din-csatlakozo-400-mm-52-gumi-burkolat-90595-13821")</f>
        <v>0.0</v>
      </c>
      <c r="E1954" s="7" t="n">
        <f>HYPERLINK("https://www.somogyi.hu/data/img/product_main_images/small/13821.jpg","https://www.somogyi.hu/data/img/product_main_images/small/13821.jpg")</f>
        <v>0.0</v>
      </c>
      <c r="F1954" s="2" t="inlineStr">
        <is>
          <t>8586017590595</t>
        </is>
      </c>
      <c r="G1954" s="4" t="inlineStr">
        <is>
          <t>Szeretné, hogy autója antennája mindig tiszta és stabil jelet biztosítson, miközben stílusosan illeszkedik a jármű megjelenéséhez? A SAL 90557 autóantenna ideális választás azok számára, akik megbízható vételt és modern dizájnt keresnek.
Az antenna csepp alakú talppal rendelkezik, amely nemcsak esztétikus, de aerodinamikailag is kedvező. A szerelés könnyedén megoldható a 5 mm átmérőjű csavar segítségével, így gyorsan és stabilan rögzíthető a jármű tetejére. A 440 mm hosszúságú antennarúd 0-45°-ban dönthető, amely lehetővé teszi, hogy az antenna mindig optimális helyzetben legyen, a legjobb vétel érdekében. A gumi burkolat nemcsak a sérülések és az időjárás viszontagságai ellen nyújt védelmet, hanem tartós és rugalmas megoldást is biztosít.
A DIN csatlakozódugó kompatibilis a legtöbb autórádióval, míg a 2 méteres kábel elegendő mozgásteret ad a különböző telepítési igények kielégítéséhez. Mindez biztosítja a kiváló rádióvételt, bármerre is járjon.
Válassza a SAL 90557 autóantennát, és élvezze a zavartalan rádiózást útközben is! Rendelje meg most, és tapasztalja meg a tökéletes jelminőséget minden utazás alkalmával!</t>
        </is>
      </c>
    </row>
    <row r="1955">
      <c r="A1955" s="3" t="inlineStr">
        <is>
          <t>SA-ANTCS 004</t>
        </is>
      </c>
      <c r="B1955" s="2" t="inlineStr">
        <is>
          <t>SAL SA-ANTCS 004 autóantenna-hosszabbító, DIN aljzat, DIN dugó, 1m</t>
        </is>
      </c>
      <c r="C1955" s="1" t="n">
        <v>1690.0</v>
      </c>
      <c r="D1955" s="7" t="n">
        <f>HYPERLINK("https://www.somogyi.hu/product/sal-sa-antcs-004-autoantenna-hosszabbito-din-aljzat-din-dugo-1m-sa-antcs-004-7038","https://www.somogyi.hu/product/sal-sa-antcs-004-autoantenna-hosszabbito-din-aljzat-din-dugo-1m-sa-antcs-004-7038")</f>
        <v>0.0</v>
      </c>
      <c r="E1955" s="7" t="n">
        <f>HYPERLINK("https://www.somogyi.hu/data/img/product_main_images/small/07038.jpg","https://www.somogyi.hu/data/img/product_main_images/small/07038.jpg")</f>
        <v>0.0</v>
      </c>
      <c r="F1955" s="2" t="inlineStr">
        <is>
          <t>5998312760451</t>
        </is>
      </c>
      <c r="G1955" s="4" t="inlineStr">
        <is>
          <t>Ha Ön is egy minőségi autóantenna hosszabbító vásárlását tervezi, akkor garantáltan jó helyen jár! Az SA-ANTCS 004 egy masszív kialakítású autóantenna hosszabbító! Az 1, 0 méter hosszúságú antennakábel DIN-aljzattal és DIN dugóval ellátott. Válassza a minőségi termékeket és rendeljen webáruházunkból.</t>
        </is>
      </c>
    </row>
    <row r="1956">
      <c r="A1956" s="3" t="inlineStr">
        <is>
          <t>91110</t>
        </is>
      </c>
      <c r="B1956" s="2" t="inlineStr">
        <is>
          <t>SAL 91110 autóantenna erősítővel, belső, szélvédőre ragasztható, öntapadós, 340mm, DIN</t>
        </is>
      </c>
      <c r="C1956" s="1" t="n">
        <v>2790.0</v>
      </c>
      <c r="D1956" s="7" t="n">
        <f>HYPERLINK("https://www.somogyi.hu/product/sal-91110-autoantenna-erositovel-belso-szelvedore-ragaszthato-ontapados-340mm-din-91110-13824","https://www.somogyi.hu/product/sal-91110-autoantenna-erositovel-belso-szelvedore-ragaszthato-ontapados-340mm-din-91110-13824")</f>
        <v>0.0</v>
      </c>
      <c r="E1956" s="7" t="n">
        <f>HYPERLINK("https://www.somogyi.hu/data/img/product_main_images/small/13824.jpg","https://www.somogyi.hu/data/img/product_main_images/small/13824.jpg")</f>
        <v>0.0</v>
      </c>
      <c r="F1956" s="2" t="inlineStr">
        <is>
          <t>8586017591110</t>
        </is>
      </c>
      <c r="G1956" s="4" t="inlineStr">
        <is>
          <t>Zavarja, hogy útközben gyakran elmegy a rádiójel, vagy nem talál tiszta adót? A SAL 91110 autóantenna erősítővel biztosítja a zavartalan rádiózást és kiváló vételt, még a gyengébb jelterületeken is.
Ez a szélvédőre ragasztható belső antenna egyszerűen telepíthető az öntapadós rögzítéssel, amely diszkrét megjelenést nyújt anélkül, hogy befolyásolná az autó esztétikáját. A 340 x 9 mm-es csík kompakt mérete ellenére hatékony működést biztosít. Az antenna beépített erősítője (12 V) fokozza a vételminőséget, így autója rádiója mindig tiszta és erős jelet fog.
A csatlakoztatás könnyedén megoldható a DIN csatlakozó-dugó segítségével, amely kompatibilis a legtöbb autórádióval. A 1,9 méter hosszú kábel elegendő mozgásteret biztosít a telepítéshez, így rugalmasan illeszthető bármely járműhöz.
Válassza a SAL 91110 autóantennát, hogy minden útja alatt élvezhesse a tökéletes rádióvételt!</t>
        </is>
      </c>
    </row>
    <row r="1957">
      <c r="A1957" s="3" t="inlineStr">
        <is>
          <t>90557</t>
        </is>
      </c>
      <c r="B1957" s="2" t="inlineStr">
        <is>
          <t>SAL 90557 autóantenna tetőre, M5 csavar, DIN csatlakozó, 440 mm, 0-45°, gumi burkolat</t>
        </is>
      </c>
      <c r="C1957" s="1" t="n">
        <v>3590.0</v>
      </c>
      <c r="D1957" s="7" t="n">
        <f>HYPERLINK("https://www.somogyi.hu/product/sal-90557-autoantenna-tetore-m5-csavar-din-csatlakozo-440-mm-0-45-gumi-burkolat-90557-13823","https://www.somogyi.hu/product/sal-90557-autoantenna-tetore-m5-csavar-din-csatlakozo-440-mm-0-45-gumi-burkolat-90557-13823")</f>
        <v>0.0</v>
      </c>
      <c r="E1957" s="7" t="n">
        <f>HYPERLINK("https://www.somogyi.hu/data/img/product_main_images/small/13823.jpg","https://www.somogyi.hu/data/img/product_main_images/small/13823.jpg")</f>
        <v>0.0</v>
      </c>
      <c r="F1957" s="2" t="inlineStr">
        <is>
          <t>8586017590557</t>
        </is>
      </c>
      <c r="G1957" s="4" t="inlineStr">
        <is>
          <t>Szeretné élvezni a zavartalan rádióadást utazásai során? A SAL 90557 tetőre rögzíthető autóantenna tökéletes választás, hogy mindig kiváló rádiójelet kapjon autójában.
Ez a csepp alakú talppal rendelkező antenna nemcsak esztétikus, hanem rendkívül praktikus is. A ∅5 mm csavar biztosítja a stabil rögzítést, míg a 440 mm hosszú, 0-45°-ban dönthető rúd lehetővé teszi az optimális beállítást. A gumi burkolat tartós védelmet nyújt az időjárás viszontagságai ellen. A DIN csatlakozódugóval és a 2 méteres kábellel könnyen csatlakoztatható a jármű rádiórendszeréhez, garantálva a kristálytiszta vételt. 
Ne habozzon tovább! Válassza a SAL 90557 autóantennát, és élvezze a zavartalan rádiózást minden utazása során.</t>
        </is>
      </c>
    </row>
    <row r="1958">
      <c r="A1958" s="6" t="inlineStr">
        <is>
          <t xml:space="preserve">   Jármű, járműfelszerelés / Antennacsatlakozó, hangszóró-csatlakozó, tápellátás-csatlakozó</t>
        </is>
      </c>
      <c r="B1958" s="6" t="inlineStr">
        <is>
          <t/>
        </is>
      </c>
      <c r="C1958" s="6" t="inlineStr">
        <is>
          <t/>
        </is>
      </c>
      <c r="D1958" s="6" t="inlineStr">
        <is>
          <t/>
        </is>
      </c>
      <c r="E1958" s="6" t="inlineStr">
        <is>
          <t/>
        </is>
      </c>
      <c r="F1958" s="6" t="inlineStr">
        <is>
          <t/>
        </is>
      </c>
      <c r="G1958" s="6" t="inlineStr">
        <is>
          <t/>
        </is>
      </c>
    </row>
    <row r="1959">
      <c r="A1959" s="3" t="inlineStr">
        <is>
          <t>SA-FISO 022</t>
        </is>
      </c>
      <c r="B1959" s="2" t="inlineStr">
        <is>
          <t>SAL SA-FISO 022, ISO csatlakozókábel hosszabbító, 4 hangszóró, tápellátás</t>
        </is>
      </c>
      <c r="C1959" s="1" t="n">
        <v>2690.0</v>
      </c>
      <c r="D1959" s="7" t="n">
        <f>HYPERLINK("https://www.somogyi.hu/product/sal-sa-fiso-022-iso-csatlakozokabel-hosszabbito-4-hangszoro-tapellatas-sa-fiso-022-7013","https://www.somogyi.hu/product/sal-sa-fiso-022-iso-csatlakozokabel-hosszabbito-4-hangszoro-tapellatas-sa-fiso-022-7013")</f>
        <v>0.0</v>
      </c>
      <c r="E1959" s="7" t="n">
        <f>HYPERLINK("https://www.somogyi.hu/data/img/product_main_images/small/07013.jpg","https://www.somogyi.hu/data/img/product_main_images/small/07013.jpg")</f>
        <v>0.0</v>
      </c>
      <c r="F1959" s="2" t="inlineStr">
        <is>
          <t>5998312760260</t>
        </is>
      </c>
      <c r="G1959" s="4" t="inlineStr">
        <is>
          <t>Széles kínálatunkban garantáltan megtalálhatja a típusspecifikus csatlakozókat!
Az SA-FISO 022 egy fejegység csatlakozókábel ISO aljzattal és ISO dugóval (toldó). Tápellátásra, illetve 4 hangszóró bekötésére alkalmas. A termék egy univerzális autóhifi csatlakozó. A vezeték hossza dugók nélkül: 13cm. Válassza a minőségi termékeket és rendeljen webáruházunkból.</t>
        </is>
      </c>
    </row>
    <row r="1960">
      <c r="A1960" s="3" t="inlineStr">
        <is>
          <t>SA-ANTCS 001</t>
        </is>
      </c>
      <c r="B1960" s="2" t="inlineStr">
        <is>
          <t>SAL SA-ANTCS 001 autóantenna-csatlakozó átalakító, ISO aljzat, DIN dugó</t>
        </is>
      </c>
      <c r="C1960" s="1" t="n">
        <v>609.0</v>
      </c>
      <c r="D1960" s="7" t="n">
        <f>HYPERLINK("https://www.somogyi.hu/product/sal-sa-antcs-001-autoantenna-csatlakozo-atalakito-iso-aljzat-din-dugo-sa-antcs-001-7035","https://www.somogyi.hu/product/sal-sa-antcs-001-autoantenna-csatlakozo-atalakito-iso-aljzat-din-dugo-sa-antcs-001-7035")</f>
        <v>0.0</v>
      </c>
      <c r="E1960" s="7" t="n">
        <f>HYPERLINK("https://www.somogyi.hu/data/img/product_main_images/small/07035.jpg","https://www.somogyi.hu/data/img/product_main_images/small/07035.jpg")</f>
        <v>0.0</v>
      </c>
      <c r="F1960" s="2" t="inlineStr">
        <is>
          <t>5998312760420</t>
        </is>
      </c>
      <c r="G1960" s="4" t="inlineStr">
        <is>
          <t>Masszív kialakítással rendelkező autóantenna csatlakozó átalakítót keres? Ez esetben a legjobb helyen jár! Széles kínálatunkban könnyedén megtalálhatja az igényeinek megfelelő darabot!
SA-ANTCS 001 típus egy autóantenna csatlakozó, amelynek egyik vége ISO aljzat, másik vége DIN dugó. Válassza a minőségi termékeket és rendeljen webáruházunkból.</t>
        </is>
      </c>
    </row>
    <row r="1961">
      <c r="A1961" s="3" t="inlineStr">
        <is>
          <t>ISO 2</t>
        </is>
      </c>
      <c r="B1961" s="2" t="inlineStr">
        <is>
          <t>SAL ISO 2, ISO csatlakozópár autórádióhoz, hangszórók, tápellátás, 15cm-es feliratozott vezeték</t>
        </is>
      </c>
      <c r="C1961" s="1" t="n">
        <v>1590.0</v>
      </c>
      <c r="D1961" s="7" t="n">
        <f>HYPERLINK("https://www.somogyi.hu/product/sal-iso-2-iso-csatlakozopar-autoradiohoz-hangszorok-tapellatas-15cm-es-feliratozott-vezetek-iso-2-4316","https://www.somogyi.hu/product/sal-iso-2-iso-csatlakozopar-autoradiohoz-hangszorok-tapellatas-15cm-es-feliratozott-vezetek-iso-2-4316")</f>
        <v>0.0</v>
      </c>
      <c r="E1961" s="7" t="n">
        <f>HYPERLINK("https://www.somogyi.hu/data/img/product_main_images/small/04316.jpg","https://www.somogyi.hu/data/img/product_main_images/small/04316.jpg")</f>
        <v>0.0</v>
      </c>
      <c r="F1961" s="2" t="inlineStr">
        <is>
          <t>5998312737798</t>
        </is>
      </c>
      <c r="G1961" s="4" t="inlineStr">
        <is>
          <t>Széles kínálatunkban garantáltan megtalálhatja az ideális ISO lengőaljzatot! Az ISO 2 csatlakozó lengőaljzatpár egy 15 cm-es feliratozott vezetékekkel ellátott autórádió csatlakozó. A termék tápfeszültség és hangszórók bekötéséhez használható. Válassza a minőségi termékeket és rendeljen webáruházunkból.</t>
        </is>
      </c>
    </row>
    <row r="1962">
      <c r="A1962" s="3" t="inlineStr">
        <is>
          <t>SA-ANTCS 002</t>
        </is>
      </c>
      <c r="B1962" s="2" t="inlineStr">
        <is>
          <t>SAL SA-ANTCS 002 autóantenna-csatlakozó átalakító, DIN aljzat, ISO dugó</t>
        </is>
      </c>
      <c r="C1962" s="1" t="n">
        <v>729.0</v>
      </c>
      <c r="D1962" s="7" t="n">
        <f>HYPERLINK("https://www.somogyi.hu/product/sal-sa-antcs-002-autoantenna-csatlakozo-atalakito-din-aljzat-iso-dugo-sa-antcs-002-7036","https://www.somogyi.hu/product/sal-sa-antcs-002-autoantenna-csatlakozo-atalakito-din-aljzat-iso-dugo-sa-antcs-002-7036")</f>
        <v>0.0</v>
      </c>
      <c r="E1962" s="7" t="n">
        <f>HYPERLINK("https://www.somogyi.hu/data/img/product_main_images/small/07036.jpg","https://www.somogyi.hu/data/img/product_main_images/small/07036.jpg")</f>
        <v>0.0</v>
      </c>
      <c r="F1962" s="2" t="inlineStr">
        <is>
          <t>5998312760437</t>
        </is>
      </c>
      <c r="G1962" s="4" t="inlineStr">
        <is>
          <t>Masszív kialakítással rendelkező autóantenna átalakítót keres? Ez esetben a legjobb helyen jár! Széles kínálatunkban könnyedén megtalálhatja az igényeinek megfelelő darabot!
SA-ANTCS 002 egy autóantenna csatlakozó, amelynek egyik vége DIN aljzat, másik vége ISO dugó. Válassza a minőségi termékeket és rendeljen webáruházunkból.</t>
        </is>
      </c>
    </row>
    <row r="1963">
      <c r="A1963" s="6" t="inlineStr">
        <is>
          <t xml:space="preserve">   Jármű, járműfelszerelés / Autós kiegészítő</t>
        </is>
      </c>
      <c r="B1963" s="6" t="inlineStr">
        <is>
          <t/>
        </is>
      </c>
      <c r="C1963" s="6" t="inlineStr">
        <is>
          <t/>
        </is>
      </c>
      <c r="D1963" s="6" t="inlineStr">
        <is>
          <t/>
        </is>
      </c>
      <c r="E1963" s="6" t="inlineStr">
        <is>
          <t/>
        </is>
      </c>
      <c r="F1963" s="6" t="inlineStr">
        <is>
          <t/>
        </is>
      </c>
      <c r="G1963" s="6" t="inlineStr">
        <is>
          <t/>
        </is>
      </c>
    </row>
    <row r="1964">
      <c r="A1964" s="3" t="inlineStr">
        <is>
          <t>90304</t>
        </is>
      </c>
      <c r="B1964" s="2" t="inlineStr">
        <is>
          <t>SAL 90304 autós kompresszor, 250 PSI, 18 bar, 10 A, 3 fúvókaadapter, 2,5m vezeték</t>
        </is>
      </c>
      <c r="C1964" s="1" t="n">
        <v>10590.0</v>
      </c>
      <c r="D1964" s="7" t="n">
        <f>HYPERLINK("https://www.somogyi.hu/product/sal-90304-autos-kompresszor-250-psi-18-bar-10-a-3-fuvokaadapter-2-5m-vezetek-90304-14262","https://www.somogyi.hu/product/sal-90304-autos-kompresszor-250-psi-18-bar-10-a-3-fuvokaadapter-2-5m-vezetek-90304-14262")</f>
        <v>0.0</v>
      </c>
      <c r="E1964" s="7" t="n">
        <f>HYPERLINK("https://www.somogyi.hu/data/img/product_main_images/small/14262.jpg","https://www.somogyi.hu/data/img/product_main_images/small/14262.jpg")</f>
        <v>0.0</v>
      </c>
      <c r="F1964" s="2" t="inlineStr">
        <is>
          <t>8586017590304</t>
        </is>
      </c>
      <c r="G1964" s="4" t="inlineStr">
        <is>
          <t>Fáradt már attól, hogy autógumijai nyomása gyakran nem megfelelő? A SAL 90304 autós kompresszor ideális megoldás, hogy mindig gondoskodjon a megfelelő nyomásról gyorsan és egyszerűen.
Ez a kompakt és hatékony kompresszor maximális nyomást biztosít akár 18 bar (250 PSI) értékig, így garantálja a gumiabroncsok optimális teljesítményét. A 10 A áramfelvételű motor megbízható működést nyújt, míg a 3 db fúvókaadapter lehetővé teszi különböző felhasználásokhoz való alkalmazását. A 2,5 méter hosszú vezetékkel és a 12 V-os tápellátással könnyedén csatlakoztatható az autó szivargyújtójához, így bárhol, bármikor használható.
Ne várjon tovább, hogy gumijai mindig a legjobb állapotban legyenek! Válassza a SAL 90304 autós kompresszort, és élvezze a biztonságosabb és kényelmesebb utazást. Tegye kosárba most, és soha többé ne aggódjon a gumiabroncsok nyomása miatt!</t>
        </is>
      </c>
    </row>
    <row r="1965">
      <c r="A1965" s="3" t="inlineStr">
        <is>
          <t>VST 01</t>
        </is>
      </c>
      <c r="B1965" s="2" t="inlineStr">
        <is>
          <t>SAL VST 01 kormánytálca, 2in1, laptoptartó, ételtartó tálca, max. 5kg, 75mm pohártartó, 420x280x22 mm</t>
        </is>
      </c>
      <c r="C1965" s="1" t="n">
        <v>3090.0</v>
      </c>
      <c r="D1965" s="7" t="n">
        <f>HYPERLINK("https://www.somogyi.hu/product/sal-vst-01-kormanytalca-2in1-laptoptarto-eteltarto-talca-max-5kg-75mm-pohartarto-420x280x22-mm-vst-01-16404","https://www.somogyi.hu/product/sal-vst-01-kormanytalca-2in1-laptoptarto-eteltarto-talca-max-5kg-75mm-pohartarto-420x280x22-mm-vst-01-16404")</f>
        <v>0.0</v>
      </c>
      <c r="E1965" s="7" t="n">
        <f>HYPERLINK("https://www.somogyi.hu/data/img/product_main_images/small/16404.jpg","https://www.somogyi.hu/data/img/product_main_images/small/16404.jpg")</f>
        <v>0.0</v>
      </c>
      <c r="F1965" s="2" t="inlineStr">
        <is>
          <t>5999084944360</t>
        </is>
      </c>
      <c r="G1965" s="4" t="inlineStr">
        <is>
          <t>Élje át a kényelmet és a sokoldalúságot a VST 01 kormánytálcával, mely egyedülálló, kétoldalas kialakítással rendelkezik!
 Ez a rendkívül praktikus eszköz laptoptartóként és ételtartó tálcaként is funkcionál. 
A kormánytálca könnyű és hordozható kialakítással rendelkezik, így egyszerűen magával viheti bárhová. 
Szerszám használata nélkül felszerelhető, ezáltal gyors és egyszerű rögzítést biztosít használója számára. 
A kormánytálca teherbírása 5 kg. 
A pohártartó mérete Ø75 mm, mely ideális, poharakhoz és flakonokhoz egyaránt, így kedvenc italát mindig biztonságban tudhatja. 
A tálca méretei 420 x 280 x 22 mm, amely elegendő és kényelmes helyet biztosít a laptopjának vagy az ételének is. 
Fedezze fel a VST 01 kormánytálca egyszerűségét és funkcionalitását, és tegye még kényelmesebbé az utazások során fellépő várakozási vagy pihenő időt!</t>
        </is>
      </c>
    </row>
    <row r="1966">
      <c r="A1966" s="3" t="inlineStr">
        <is>
          <t>90205</t>
        </is>
      </c>
      <c r="B1966" s="2" t="inlineStr">
        <is>
          <t>SAL 90205 fűthető ülésvédő, 2 fokozat, pántos, kampós, szivargyújtó</t>
        </is>
      </c>
      <c r="C1966" s="1" t="n">
        <v>10090.0</v>
      </c>
      <c r="D1966" s="7" t="n">
        <f>HYPERLINK("https://www.somogyi.hu/product/sal-90205-futheto-ulesvedo-2-fokozat-pantos-kampos-szivargyujto-90205-13772","https://www.somogyi.hu/product/sal-90205-futheto-ulesvedo-2-fokozat-pantos-kampos-szivargyujto-90205-13772")</f>
        <v>0.0</v>
      </c>
      <c r="E1966" s="7" t="n">
        <f>HYPERLINK("https://www.somogyi.hu/data/img/product_main_images/small/13772.jpg","https://www.somogyi.hu/data/img/product_main_images/small/13772.jpg")</f>
        <v>0.0</v>
      </c>
      <c r="F1966" s="2" t="inlineStr">
        <is>
          <t>8586017590205</t>
        </is>
      </c>
      <c r="G1966" s="4" t="inlineStr">
        <is>
          <t>Fázik az autóban a hideg reggeleken? A SAL 90205 fűthető ülésvédő tökéletes megoldás, hogy kellemes meleget és kényelmet biztosítson vezetés közben.
Ez a praktikus ülésvédő 2 fokozatban szabályozható fűtéssel rendelkezik, így könnyedén beállíthatja a kívánt hőmérsékletet. A rugalmas pántok és tartozék kampók segítségével gyorsan és biztonságosan rögzíthető az autóülésre. A fűtés egyszerűen, a 12 V-os szivargyújtóba csatlakoztatva működik, így bármilyen autóban használható. A steppelt kialakítás elegáns megjelenést kölcsönöz, míg a 440 x 400/440 x 440 mm-es méret biztosítja a tökéletes illeszkedést és kényelmet.
Ne hagyja, hogy a hideg elrontsa autózását! Válassza a SAL 90205 fűthető ülésvédőt, és élvezze a meleg és kényelmes utazást minden időjárási körülmény között.</t>
        </is>
      </c>
    </row>
    <row r="1967">
      <c r="A1967" s="3" t="inlineStr">
        <is>
          <t>91769</t>
        </is>
      </c>
      <c r="B1967" s="2" t="inlineStr">
        <is>
          <t>SAL 91769 légnyomásmérő gumiabroncshoz, 0,5-7,5 bar, fém ház</t>
        </is>
      </c>
      <c r="C1967" s="1" t="n">
        <v>3190.0</v>
      </c>
      <c r="D1967" s="7" t="n">
        <f>HYPERLINK("https://www.somogyi.hu/product/sal-91769-legnyomasmero-gumiabroncshoz-0-5-7-5-bar-fem-haz-91769-13777","https://www.somogyi.hu/product/sal-91769-legnyomasmero-gumiabroncshoz-0-5-7-5-bar-fem-haz-91769-13777")</f>
        <v>0.0</v>
      </c>
      <c r="E1967" s="7" t="n">
        <f>HYPERLINK("https://www.somogyi.hu/data/img/product_main_images/small/13777.jpg","https://www.somogyi.hu/data/img/product_main_images/small/13777.jpg")</f>
        <v>0.0</v>
      </c>
      <c r="F1967" s="2" t="inlineStr">
        <is>
          <t>8586017591769</t>
        </is>
      </c>
      <c r="G1967" s="4" t="inlineStr">
        <is>
          <t>Biztos abban, hogy az autója gumiabroncsainak légnyomása megfelelő? Az optimális légnyomás nem csak a jármű biztonságát növeli, hanem az üzemanyag-fogyasztásra és az abroncsok élettartamára is hatással van. A SAL 91769 légnyomásmérő megbízható megoldást kínál a pontos és gyors mérésekhez. 
Tartós, masszív fém házzal rendelkezik, amely hosszú élettartamot és strapabírást biztosít. A 0,5-7,5 BAR mérési tartomány révén bármilyen típusú gumiabroncs nyomását könnyedén ellenőrizheti, legyen szó személyautóról, teherautóról vagy motorkerékpárról.
Ne hagyja, hogy a helytelen abroncsnyomás veszélyeztesse autója teljesítményét – válassza a SAL 91769 légnyomásmérőt, és gondoskodjon a megfelelő nyomásról!</t>
        </is>
      </c>
    </row>
    <row r="1968">
      <c r="A1968" s="3" t="inlineStr">
        <is>
          <t>90717</t>
        </is>
      </c>
      <c r="B1968" s="2" t="inlineStr">
        <is>
          <t>SAL 90717 lábpumpa, 7 bar, légnyomásmérő, 1+2 szelepadapter</t>
        </is>
      </c>
      <c r="C1968" s="1" t="n">
        <v>5490.0</v>
      </c>
      <c r="D1968" s="7" t="n">
        <f>HYPERLINK("https://www.somogyi.hu/product/sal-90717-labpumpa-7-bar-legnyomasmero-1-2-szelepadapter-90717-13846","https://www.somogyi.hu/product/sal-90717-labpumpa-7-bar-legnyomasmero-1-2-szelepadapter-90717-13846")</f>
        <v>0.0</v>
      </c>
      <c r="E1968" s="7" t="n">
        <f>HYPERLINK("https://www.somogyi.hu/data/img/product_main_images/small/13846.jpg","https://www.somogyi.hu/data/img/product_main_images/small/13846.jpg")</f>
        <v>0.0</v>
      </c>
      <c r="F1968" s="2" t="inlineStr">
        <is>
          <t>8586017590717</t>
        </is>
      </c>
      <c r="G1968" s="4" t="inlineStr">
        <is>
          <t>Előfordult már Önnel, hogy leeresztett egy kerékpár vagy autógumi, és nem volt kéznél megbízható pumpa? A SAL 90717 lábpumpa ideális választás minden olyan helyzetre, amikor gyors és hatékony felfújásra van szükség – legyen szó gumiabroncsról, matracról vagy labdáról.
A pumpa praktikus 1+2 szelepadapterrel érkezik, amelyek lehetővé teszik, hogy különböző szeleptípusú tárgyakat fújjon fel – akár autó- vagy kerékpárgumikról, motorabroncsokról, gumicsónakokról vagy labdákról van szó. A beépített légnyomásmérő pontos visszajelzést ad a nyomásról, egészen 7 bar-ig, így mindig biztos lehet abban, hogy a megfelelő nyomásra pumpálja fel a kívánt tárgyat.
Ez a masszív kialakítású pumpa könnyen kezelhető, lábbal működtethető mechanizmusa garantálja a gyors és erőlködés nélküli felfújást, bármilyen alkalmazási területen.
Válassza a SAL 90717 lábpumpát, hogy mindig felkészült legyen a váratlan helyzetekre!</t>
        </is>
      </c>
    </row>
    <row r="1969">
      <c r="A1969" s="6" t="inlineStr">
        <is>
          <t xml:space="preserve">   Jármű, járműfelszerelés / Autóápolás</t>
        </is>
      </c>
      <c r="B1969" s="6" t="inlineStr">
        <is>
          <t/>
        </is>
      </c>
      <c r="C1969" s="6" t="inlineStr">
        <is>
          <t/>
        </is>
      </c>
      <c r="D1969" s="6" t="inlineStr">
        <is>
          <t/>
        </is>
      </c>
      <c r="E1969" s="6" t="inlineStr">
        <is>
          <t/>
        </is>
      </c>
      <c r="F1969" s="6" t="inlineStr">
        <is>
          <t/>
        </is>
      </c>
      <c r="G1969" s="6" t="inlineStr">
        <is>
          <t/>
        </is>
      </c>
    </row>
    <row r="1970">
      <c r="A1970" s="3" t="inlineStr">
        <is>
          <t>TE00318 (MK SZ01)</t>
        </is>
      </c>
      <c r="B1970" s="2" t="inlineStr">
        <is>
          <t>Prevent TE00318 (MK SZ01) szilikon spray, 300 ml</t>
        </is>
      </c>
      <c r="C1970" s="1" t="n">
        <v>2590.0</v>
      </c>
      <c r="D1970" s="7" t="n">
        <f>HYPERLINK("https://www.somogyi.hu/product/prevent-te00318-mk-sz01-szilikon-spray-300-ml-te00318-mk-sz01-6606","https://www.somogyi.hu/product/prevent-te00318-mk-sz01-szilikon-spray-300-ml-te00318-mk-sz01-6606")</f>
        <v>0.0</v>
      </c>
      <c r="E1970" s="7" t="n">
        <f>HYPERLINK("https://www.somogyi.hu/data/img/product_main_images/small/06606.jpg","https://www.somogyi.hu/data/img/product_main_images/small/06606.jpg")</f>
        <v>0.0</v>
      </c>
      <c r="F1970" s="2" t="inlineStr">
        <is>
          <t>5997074503184</t>
        </is>
      </c>
      <c r="G1970" s="4" t="inlineStr">
        <is>
          <t>Szeretné, ha autója vagy otthona műanyag, műbőr és gumi részei újra fényesek és életerősek lennének? A Prevent TE00318 (MK SZ01) szilikon spray az ideális megoldás azok számára, akik a felületek ápolását és védelmét fontosnak tartják.
Ez a kiváló minőségű szilikon spray tökéletes választás műanyag, műbőr és gumi felületek ápolására, színfelfrissítésére és konzerválására. A kezelés után a felületek nemcsak hogy fényesebbek lesznek, de kevésbé hajlamosak a repedezésre és az öregedésre, így hosszú távon megőrzik eredeti szépségüket és állapotukat. A Prevent TE00318 szilikon spray nem csak felületek ápolására alkalmas, hanem mozgó alkatrészek kenésére is kiváló, így széles körű használata biztosított a háztartásban és a műhelyben egyaránt. A 300 ml-es kiszerelés biztosítja, hogy elegendő mennyiség álljon rendelkezésre a szükséges alkalmazásokhoz.
Használja a Prevent TE00318 (MK SZ01) szilikon spray-t, és adjon új életet a műanyag, műbőr és gumi felületeknek.</t>
        </is>
      </c>
    </row>
    <row r="1971">
      <c r="A1971" s="3" t="inlineStr">
        <is>
          <t>TE01814</t>
        </is>
      </c>
      <c r="B1971" s="2" t="inlineStr">
        <is>
          <t>Home TE01814 jégoldó, szórófejes, 500 ml</t>
        </is>
      </c>
      <c r="C1971" s="1" t="n">
        <v>1250.0</v>
      </c>
      <c r="D1971" s="7" t="n">
        <f>HYPERLINK("https://www.somogyi.hu/product/home-te01814-jegoldo-szorofejes-500-ml-te01814-6961","https://www.somogyi.hu/product/home-te01814-jegoldo-szorofejes-500-ml-te01814-6961")</f>
        <v>0.0</v>
      </c>
      <c r="E1971" s="7" t="n">
        <f>HYPERLINK("https://www.somogyi.hu/data/img/product_main_images/small/06961.jpg","https://www.somogyi.hu/data/img/product_main_images/small/06961.jpg")</f>
        <v>0.0</v>
      </c>
      <c r="F1971" s="2" t="inlineStr">
        <is>
          <t>5998312759745</t>
        </is>
      </c>
      <c r="G1971" s="4" t="inlineStr">
        <is>
          <t>Belefáradt reggeli autó jégtelenítésbe? A Home TEO1814 jégoldóval könnyedén megbirkózhat a tél legnagyobb kihívásaival. 
Ez a szórópisztolyos kialakítású, 500 ml-es jégoldó ideális választás gépjárművek ablakainak, befagyott záraknak és kézifékeknek a jégtelenítésére. Az innovatív formula nem csak hatékonyan oldja meg a jégről való megszabadulás feladatát, de az üvegfelületekről is könnyedén eltávolítható, puha ruhával vagy ablaktörlővel, anélkül, hogy nyomot hagyna.
A Home TEO1814 jégoldó használata nem csupán időtakarékos, hanem rendkívül hatékony is. A szórópisztolyos fejnek köszönhetően a jégoldó anyag pontosan, célzottan alkalmazható, így elkerülhető a felesleges pazarlás és a környező területek szennyeződése. Ez a termék garantálja, hogy gépjárműve gyorsan és biztonságosan indulhat útnak, még a legzordabb téli napokon is.
Indítsa zökkenőmentesen a napját a Home TEO1814 jégoldó használatával. Próbálja ki ezt a gyors és hatékony megoldást, és búcsúzzon el a reggeli jégtelenítési problémáktól.</t>
        </is>
      </c>
    </row>
    <row r="1972">
      <c r="A1972" s="3" t="inlineStr">
        <is>
          <t>TE01431</t>
        </is>
      </c>
      <c r="B1972" s="2" t="inlineStr">
        <is>
          <t>Home TE01431 jégoldó, kaparófejes, 400 ml</t>
        </is>
      </c>
      <c r="C1972" s="1" t="n">
        <v>1850.0</v>
      </c>
      <c r="D1972" s="7" t="n">
        <f>HYPERLINK("https://www.somogyi.hu/product/home-te01431-jegoldo-kaparofejes-400-ml-te01431-6973","https://www.somogyi.hu/product/home-te01431-jegoldo-kaparofejes-400-ml-te01431-6973")</f>
        <v>0.0</v>
      </c>
      <c r="E1972" s="7" t="n">
        <f>HYPERLINK("https://www.somogyi.hu/data/img/product_main_images/small/06973.jpg","https://www.somogyi.hu/data/img/product_main_images/small/06973.jpg")</f>
        <v>0.0</v>
      </c>
      <c r="F1972" s="2" t="inlineStr">
        <is>
          <t>5998312759868</t>
        </is>
      </c>
      <c r="G1972" s="4" t="inlineStr">
        <is>
          <t>Van már megoldása a téli reggelek egyik legnagyobb kihívására? A Home TEO1431 jégoldóval véget vethet az autóüvegek jegesedése okozta problémáknak. 
Ez a különleges, 400 ml-es kiszerelésű jégoldó spray nem csak megkönnyíti a hideg időszakokban szükséges előkészületeket, de a kaparófejes kialakításának köszönhetően jelentősen felgyorsítja a jégréteg eltávolítását is. A termék hajtógáza speciálisan kifejlesztett összetétel, amely még a legnagyobb hidegben is garantálja a spray hatékonyságát és kiüríthetőségét, így biztosítva, hogy soha többé ne kelljen feleslegesen időt töltenie a jégkaparásra.
A Home TEO1431 jégoldóval nemcsak időt, hanem erőfeszítést is megtakaríthat. A kaparófej és a hatékony jégoldó formula kombinációjával a termék lehetővé teszi a gyors és egyszerű jégeltávolítást, anélkül, hogy károsítaná az autóüvegek felületét. Legyen szó bármilyen hidegről, ez a jégoldó spray megbízható társ lesz a téli hónapokban.
Ne hagyja, hogy a téli időjárás akadályozza napjainak kezdetét. Próbálja ki a Home TEO1431 jégoldót, és élvezze a zökkenőmentes reggeleket, még a legzordabb téli napokon is.</t>
        </is>
      </c>
    </row>
    <row r="1973">
      <c r="A1973" s="3" t="inlineStr">
        <is>
          <t>TE00710</t>
        </is>
      </c>
      <c r="B1973" s="2" t="inlineStr">
        <is>
          <t>Prevent TE00710 féktisztító aeroszol, professional, 500 ml</t>
        </is>
      </c>
      <c r="C1973" s="1" t="n">
        <v>1850.0</v>
      </c>
      <c r="D1973" s="7" t="n">
        <f>HYPERLINK("https://www.somogyi.hu/product/prevent-te00710-fektisztito-aeroszol-professional-500-ml-te00710-19170","https://www.somogyi.hu/product/prevent-te00710-fektisztito-aeroszol-professional-500-ml-te00710-19170")</f>
        <v>0.0</v>
      </c>
      <c r="E1973" s="7" t="n">
        <f>HYPERLINK("https://www.somogyi.hu/data/img/product_main_images/small/19170.jpg","https://www.somogyi.hu/data/img/product_main_images/small/19170.jpg")</f>
        <v>0.0</v>
      </c>
      <c r="F1973" s="2" t="inlineStr">
        <is>
          <t>5997074507106</t>
        </is>
      </c>
      <c r="G1973" s="4" t="inlineStr">
        <is>
          <t>Hogyan érhető el a fékrendszer maximális teljesítménye egyszerű karbantartással?
A Prevent TE00710 féktisztító aeroszol professzionális megoldást kínál a fékrendszerek és egyéb alkatrészek tisztítására. Tárcsa- és dobfékek, dinamók, generátorok, valamint kuplungtárcsák esetében is hatékonyan távolítja el a szennyeződéseket, így biztosítva az optimális működést.
Professzionális tisztítás kompromisszumok nélkül
 A Prevent TE00710 féktisztító aeroszol kiválóan alkalmas a fékfolyadék, zsír, olaj és egyéb szennyeződések eltávolítására anélkül, hogy a fékrendszert teljesen szét kellene szerelni. Így a fékbetétek tisztítása és zsírtalanítása gyorsan és hatékonyan elvégezhető.
Fokozott fékhatás 
A tisztított alkatrészek azonnal, foltmentesen száradnak, ami nemcsak az esztétikai megjelenést, hanem a fékezőerő egyenletes eloszlását is elősegíti. Az aeroszol használata növeli a fékhatást és hozzájárul a biztonságosabb közlekedéshez.
Tökéletes választás előkészítő munkákhoz
A Prevent TE00710 nemcsak fékrendszerekhez ideális: kiváló zsírtalanító hatásának köszönhetően festés vagy ragasztás előtti felületkezelésre is alkalmazható. A tisztított felület foltmentes és azonnal készen áll a következő munkafázisokra.
Gazdaságos és precíz kialakítás
- 500 ml-es kiszerelés: Tartós és gazdaságos megoldás hosszú távú használatra.
- Speciális szórófej rendszer: Lehetőséget biztosít nagyobb felületek gyors kezelésére, vagy precíziós munkára egy pontra irányítottan.
- Kupakban tárolt szórócső: Még egyszerűbb alkalmazhatóság a nehezen elérhető helyeken is.
Miért válassza a Prevent TE00710 féktisztító aeroszolt?
- Hatékonyan tisztít és zsírtalanít anélkül, hogy szétszerelésre lenne szükség.
- Növeli a fékhatást és az alkatrészek teljesítményét.
- Sokoldalúan használható, festés és ragasztás előkészítésére is alkalmas.
- Gazdaságos, hosszú távú megoldást kínál nagy kiszerelésének köszönhetően.
- Praktikus és precíz szórófej rendszerrel van felszerelve.
Ne érje be kevesebbel, ha a járműve teljesítményéről van szó! Válassza a Prevent TE00710 féktisztító aeroszolt, és élvezze a maximális hatékonyságot és a professzionális tisztítás előnyeit!</t>
        </is>
      </c>
    </row>
    <row r="1974">
      <c r="A1974" s="3" t="inlineStr">
        <is>
          <t>090508</t>
        </is>
      </c>
      <c r="B1974" s="2" t="inlineStr">
        <is>
          <t>Motip 090508 légkondícionáló tisztító hab, 500 ml, autó, beltéri klíma</t>
        </is>
      </c>
      <c r="C1974" s="1" t="n">
        <v>4590.0</v>
      </c>
      <c r="D1974" s="7" t="n">
        <f>HYPERLINK("https://www.somogyi.hu/product/motip-090508-legkondicionalo-tisztito-hab-500-ml-auto-belteri-klima-090508-14171","https://www.somogyi.hu/product/motip-090508-legkondicionalo-tisztito-hab-500-ml-auto-belteri-klima-090508-14171")</f>
        <v>0.0</v>
      </c>
      <c r="E1974" s="7" t="n">
        <f>HYPERLINK("https://www.somogyi.hu/data/img/product_main_images/small/14171.jpg","https://www.somogyi.hu/data/img/product_main_images/small/14171.jpg")</f>
        <v>0.0</v>
      </c>
      <c r="F1974" s="2" t="inlineStr">
        <is>
          <t>8711347225842</t>
        </is>
      </c>
      <c r="G1974" s="4" t="inlineStr">
        <is>
          <t>Szeretné biztosítani, hogy légkondicionálója mindig friss és baktériummentes legyen? A Motip 090508 légkondicionáló tisztító hab tökéletes választás, hogy klímaberendezése mindig tiszta és higiénikus maradjon. 
Ez a klímatisztító hab 500 ml-es kiszerelésben érkezik, és ideális mind gépjárművek, mind otthoni klímák tisztításához. Hatékonyan eltávolítja a baktériumokat és a szennyeződéseket a légkondicionáló rendszerből, biztosítva a friss és kellemes illatot. A baktériumölő hatásának köszönhetően megszabadítja a klímát a kórokozóktól, így Ön és családja egészséges, tiszta levegőt lélegezhet be.
A használata egyszerű és gyors: csak permetezze a habot a klímaberendezés belső részére, hagyja hatni, majd élvezze a tiszta és friss levegőt. A rendszeres tisztítás meghosszabbítja a klíma élettartamát és javítja a működési hatékonyságát.
Válassza a Motip 090508 légkondicionáló tisztító habot, hogy klímaberendezése mindig friss és baktériummentes legyen! Rendelje meg most, és élvezze a tiszta levegő előnyeit otthonában és autójában egyaránt!</t>
        </is>
      </c>
    </row>
    <row r="1975">
      <c r="A1975" s="3" t="inlineStr">
        <is>
          <t>TE02646</t>
        </is>
      </c>
      <c r="B1975" s="2" t="inlineStr">
        <is>
          <t>Prevent TE02646 jégoldó aeroszol, 600 ml</t>
        </is>
      </c>
      <c r="C1975" s="1" t="n">
        <v>1890.0</v>
      </c>
      <c r="D1975" s="7" t="n">
        <f>HYPERLINK("https://www.somogyi.hu/product/prevent-te02646-jegoldo-aeroszol-600-ml-te02646-19086","https://www.somogyi.hu/product/prevent-te02646-jegoldo-aeroszol-600-ml-te02646-19086")</f>
        <v>0.0</v>
      </c>
      <c r="E1975" s="7" t="n">
        <f>HYPERLINK("https://www.somogyi.hu/data/img/product_main_images/small/19086.jpg","https://www.somogyi.hu/data/img/product_main_images/small/19086.jpg")</f>
        <v>0.0</v>
      </c>
      <c r="F1975" s="2" t="inlineStr">
        <is>
          <t>5997074526466</t>
        </is>
      </c>
      <c r="G1975" s="4" t="inlineStr">
        <is>
          <t>Hogyan lehet hatékonyan megszabadulni a vastag jégrétegtől a hideg téli reggeleken? Az autóüvegek biztonságos és gyors jégtelenítése sok sofőr számára kihívás, különösen extrém időjárási körülmények között. A Prevent TE02646 jégoldó aeroszol erre a problémára kínál hatékony megoldást. 
Ez a 600 ml-es aeroszol kifejezetten személygépkocsik és nagy méretű gépjárművek, mint például kamionok, teherautók és tömegközlekedési járművek üvegfelületeinek jégtelenítésére lett kifejlesztve. Az erős szórófejjel és hosszú permetsugárral könnyedén elérhetők még a magasabb, nehezen hozzáférhető felületek is, így gyorsan és kényelmesen távolíthatja el a jeget a szélvédőről, oldalsó ablakokról és tükrökről.
A Prevent TE02646 különleges formulája lehetővé teszi, hogy akár extrém hideg időben is megbízhatóan végezze el a jégtelenítést. Az aeroszol gyorsan feloldja a jegesedést, így nem csak időt spórol meg, hanem hozzájárul a biztonságosabb közlekedéshez is a téli hónapokban.
Válassza a Prevent TE02646 jégoldó aeroszolt, és élvezze a gyors és hatékony jégtelenítés előnyeit, függetlenül a körülményektől! Töltse fel járművét ezzel a praktikus és erőteljes megoldással még ma!</t>
        </is>
      </c>
    </row>
    <row r="1976">
      <c r="A1976" s="3" t="inlineStr">
        <is>
          <t>TE01712</t>
        </is>
      </c>
      <c r="B1976" s="2" t="inlineStr">
        <is>
          <t>Home TE01712 klímatisztító aeroszol, 150 ml</t>
        </is>
      </c>
      <c r="C1976" s="1" t="n">
        <v>3190.0</v>
      </c>
      <c r="D1976" s="7" t="n">
        <f>HYPERLINK("https://www.somogyi.hu/product/home-te01712-klimatisztito-aeroszol-150-ml-te01712-15405","https://www.somogyi.hu/product/home-te01712-klimatisztito-aeroszol-150-ml-te01712-15405")</f>
        <v>0.0</v>
      </c>
      <c r="E1976" s="7" t="n">
        <f>HYPERLINK("https://www.somogyi.hu/data/img/product_main_images/small/15405.jpg","https://www.somogyi.hu/data/img/product_main_images/small/15405.jpg")</f>
        <v>0.0</v>
      </c>
      <c r="F1976" s="2" t="inlineStr">
        <is>
          <t>5997074517129</t>
        </is>
      </c>
      <c r="G1976" s="4" t="inlineStr">
        <is>
          <t>Egy gyors és hatékony megoldást keres, hogy autójában mindig tiszta és friss legyen a levegő? A Home TEO1712 klímatisztító aeroszol az Ön számára készült. 
Ez a 150 ml-es klímatisztító aeroszol kifejezetten arra készült, hogy eltávolítsa a klímaberendezések járataiban lerakódó, kellemetlen szagokat okozó szennyeződéseket. Ennek eredményeként az utastér levegője üde és friss lesz, amit minden utas értékelni fog. A Home TEO1712 használatával nem csak a kellemetlen szagokkal számolhat le, hanem hozzájárulhat az autóklíma rendszerének hosszabb élettartamához is. A különleges összetevők gondoskodnak arról, hogy a klíma járatai tiszták maradjanak, így az autóklíma hatékonyabban és hosszabb ideig működhet problémamentesen. A termék használata egyszerű és gyors, így bárki könnyedén gondoskodhat autója klíma rendszerének karbantartásáról.
Tegyen a tiszta és egészséges utastérért a Home TEO1712 klímatisztító aeroszollal. Az egyszerű használat és a hatékony tisztítás garantálja, hogy autójában mindig friss és kellemes legyen a levegő.</t>
        </is>
      </c>
    </row>
    <row r="1977">
      <c r="A1977" s="3" t="inlineStr">
        <is>
          <t>TE01999</t>
        </is>
      </c>
      <c r="B1977" s="2" t="inlineStr">
        <is>
          <t>Prevent TE01999 klímatisztító vezetékes aeroszol hab, 400 ml</t>
        </is>
      </c>
      <c r="C1977" s="1" t="n">
        <v>5090.0</v>
      </c>
      <c r="D1977" s="7" t="n">
        <f>HYPERLINK("https://www.somogyi.hu/product/prevent-te01999-klimatisztito-vezetekes-aeroszol-hab-400-ml-te01999-19171","https://www.somogyi.hu/product/prevent-te01999-klimatisztito-vezetekes-aeroszol-hab-400-ml-te01999-19171")</f>
        <v>0.0</v>
      </c>
      <c r="E1977" s="7" t="n">
        <f>HYPERLINK("https://www.somogyi.hu/data/img/product_main_images/small/19171.jpg","https://www.somogyi.hu/data/img/product_main_images/small/19171.jpg")</f>
        <v>0.0</v>
      </c>
      <c r="F1977" s="2" t="inlineStr">
        <is>
          <t>5997074519994</t>
        </is>
      </c>
      <c r="G1977" s="4" t="inlineStr">
        <is>
          <t>Hogyan biztosíthatja klímaberendezése frissességét és higiénikus működését?
A Prevent TE01999 klímatisztító vezetékes aeroszol kifejezetten a klímaberendezések járataiban felhalmozódó szennyeződések és kellemetlen szagok eltávolítására lett kifejlesztve. Különleges összetevőinek köszönhetően hatékonyan tisztítja a rendszert, miközben üde és tiszta levegőt biztosít a légtérben.
Hatékony tisztítás és kellemes frissesség
 A Prevent TE01999 aeroszol eltávolítja a klímaberendezés járataiban megtelepedő biofilmet, amely ideális környezetet biztosítana a baktériumok és gombák számára. A tisztítás után a rendszer nemcsak friss levegőt biztosít, hanem csökkenti a fertőzések kockázatát is.
Kellemetlen szagok megszüntetése 
A termék hatékonyan semlegesíti a szagokat okozó lerakódásokat, így biztosítva a tartós frissességet az autó- vagy beltéri klímaberendezések használata során.
Sokoldalú felhasználási lehetőségek
- Autós klímaberendezések: Ideális a hűtési rendszerek karbantartására, amelyek gyorsan felhalmozhatják a szennyeződéseket.
- Ablak- és split klímák: Lakásokban és irodákban is hatékonyan használható a friss és egészséges levegő fenntartására.
Egyszerű használat és praktikus kialakítás
A Prevent TE01999 klímatisztító vezetékes aeroszol könnyen kezelhető, és gyorsan fejti ki hatását a nehezen elérhető helyeken is. A vezetékes kialakítás lehetővé teszi a mélyebb tisztítást, ezáltal garantálva a tökéletes higiéniai állapotot a rendszer teljes hosszában.
Miért válassza a Prevent TE01999 klímatisztító aeroszolt?
- Hatékonyan eltávolítja a kellemetlen szagokat és a mikroorganizmusok biofilmjét.
- Autós, ablak- és split klímaberendezésekhez egyaránt alkalmas.
- Gyorsan és egyszerűen használható, még a nehezen hozzáférhető helyeken is.
- Friss és üde levegőt biztosít otthonában vagy járművében.
Ne hagyja, hogy a szennyeződések rontsanak a levegő minőségén! Válassza a Prevent TE01999 klímatisztító aeroszolt, és élvezze a tiszta, egészséges környezetet minden használatkor!</t>
        </is>
      </c>
    </row>
    <row r="1978">
      <c r="A1978" s="3" t="inlineStr">
        <is>
          <t>W 340</t>
        </is>
      </c>
      <c r="B1978" s="2" t="inlineStr">
        <is>
          <t>Home W 340 szilikon spray, 300 ml</t>
        </is>
      </c>
      <c r="C1978" s="1" t="n">
        <v>1990.0</v>
      </c>
      <c r="D1978" s="7" t="n">
        <f>HYPERLINK("https://www.somogyi.hu/product/home-w-340-szilikon-spray-300-ml-w-340-3175","https://www.somogyi.hu/product/home-w-340-szilikon-spray-300-ml-w-340-3175")</f>
        <v>0.0</v>
      </c>
      <c r="E1978" s="7" t="n">
        <f>HYPERLINK("https://www.somogyi.hu/data/img/product_main_images/small/03175.jpg","https://www.somogyi.hu/data/img/product_main_images/small/03175.jpg")</f>
        <v>0.0</v>
      </c>
      <c r="F1978" s="2" t="inlineStr">
        <is>
          <t>5997539300549</t>
        </is>
      </c>
      <c r="G1978" s="4" t="inlineStr">
        <is>
          <t>Szeretne egy univerzális megoldást, ami minden szerelési és karbantartási feladatban segítségére lehet? A Home W 340 szilikon spray az Ön számára készült, legyen szó ipari, autóipari használatról vagy akár az otthoni apró javításokról.
Ez a sokoldalú szilikon spray kiválóan alkalmazható szerelési, karbantartási és ápolási munkákhoz az ipar és az autóipar számos területén. A Home W 340 különleges formulája nemcsak megkönnyíti az alkatrészek mozgását és védi őket a kopástól, de villamos csatlakozások nedvesség elleni védelmében is hatékony, így biztosítva az elektronikai berendezések hosszabb élettartamát. A 300ml-es kiszerelés biztosítja, hogy elegendő mennyiség álljon rendelkezésre a szükséges alkalmazásokhoz, legyen szó bármilyen munkáról. A spray formája lehetővé teszi a gyors és egyszerű alkalmazást, még a nehezen hozzáférhető helyeken is.
Fedezze fel a Home W 340 szilikon spray által kínált védelmet és sokoldalúságot.</t>
        </is>
      </c>
    </row>
    <row r="1979">
      <c r="A1979" s="3" t="inlineStr">
        <is>
          <t>TE00706</t>
        </is>
      </c>
      <c r="B1979" s="2" t="inlineStr">
        <is>
          <t>Home TE00706 zárolajzó jégoldó, 50 ml</t>
        </is>
      </c>
      <c r="C1979" s="1" t="n">
        <v>1150.0</v>
      </c>
      <c r="D1979" s="7" t="n">
        <f>HYPERLINK("https://www.somogyi.hu/product/home-te00706-zarolajzo-jegoldo-50-ml-te00706-6964","https://www.somogyi.hu/product/home-te00706-zarolajzo-jegoldo-50-ml-te00706-6964")</f>
        <v>0.0</v>
      </c>
      <c r="E1979" s="7" t="n">
        <f>HYPERLINK("https://www.somogyi.hu/data/img/product_main_images/small/06964.jpg","https://www.somogyi.hu/data/img/product_main_images/small/06964.jpg")</f>
        <v>0.0</v>
      </c>
      <c r="F1979" s="2" t="inlineStr">
        <is>
          <t>5998312759776</t>
        </is>
      </c>
      <c r="G1979" s="4" t="inlineStr">
        <is>
          <t>Fagyott zárakkal küzd a hideg időszakban, és a nyári hónapokban is szeretné megóvni zárait? A Home TE00706 zárolajzó jégoldó a tökéletes megoldás az Ön számára, amely egész évben gondoskodik zárai karbantartásáról.
A Home TE00706 egy különleges aeroszol, amelynek speciális szórófeje lehetővé teszi, hogy a hatóanyagok könnyedén eljussanak a zár belsejébe. Ez a termék nem csak télen nyújt gyors megoldást a befagyott zárak olvasztására, de nyáron is használható, mint kiváló kenő- és korrózióvédő szer. Az ápoló összetevők biztosítják, hogy a zárak simán működjenek, megakadályozva ezzel a kopást és a rozsdásodást. 50ml-es kiszerelésével a Home TE00706 zárolajzó jégoldó praktikus és hordozható, így mindig kéznél lehet, amikor szükség van rá. Legyen szó autóról, otthonról vagy akár irodáról, ez a termék segít megőrizni a zárak állapotát és biztonságát.
Ne hagyja, hogy a zárak befagyása vagy kopása megnehezítse a mindennapjait!</t>
        </is>
      </c>
    </row>
    <row r="1980">
      <c r="A1980" s="6" t="inlineStr">
        <is>
          <t xml:space="preserve">   Jármű, járműfelszerelés / Elektromos roller</t>
        </is>
      </c>
      <c r="B1980" s="6" t="inlineStr">
        <is>
          <t/>
        </is>
      </c>
      <c r="C1980" s="6" t="inlineStr">
        <is>
          <t/>
        </is>
      </c>
      <c r="D1980" s="6" t="inlineStr">
        <is>
          <t/>
        </is>
      </c>
      <c r="E1980" s="6" t="inlineStr">
        <is>
          <t/>
        </is>
      </c>
      <c r="F1980" s="6" t="inlineStr">
        <is>
          <t/>
        </is>
      </c>
      <c r="G1980" s="6" t="inlineStr">
        <is>
          <t/>
        </is>
      </c>
    </row>
    <row r="1981">
      <c r="A1981" s="3" t="inlineStr">
        <is>
          <t>AA.05.12.01.0003</t>
        </is>
      </c>
      <c r="B1981" s="2" t="inlineStr">
        <is>
          <t>Segway Ninebot F2 E elektromos roller, max. terhelhetőség 120kg, max. sebesség 25km/h, IPX5</t>
        </is>
      </c>
      <c r="C1981" s="1" t="n">
        <v>212990.0</v>
      </c>
      <c r="D1981" s="7" t="n">
        <f>HYPERLINK("https://www.somogyi.hu/product/segway-ninebot-f2-e-elektromos-roller-max-terhelhetoseg-120kg-max-sebesseg-25km-h-ipx5-aa-05-12-01-0003-18279","https://www.somogyi.hu/product/segway-ninebot-f2-e-elektromos-roller-max-terhelhetoseg-120kg-max-sebesseg-25km-h-ipx5-aa-05-12-01-0003-18279")</f>
        <v>0.0</v>
      </c>
      <c r="E1981" s="7" t="n">
        <f>HYPERLINK("https://www.somogyi.hu/data/img/product_main_images/small/18279.jpg","https://www.somogyi.hu/data/img/product_main_images/small/18279.jpg")</f>
        <v>0.0</v>
      </c>
      <c r="F1981" s="2" t="inlineStr">
        <is>
          <t>8720254406442</t>
        </is>
      </c>
      <c r="G1981" s="4" t="inlineStr">
        <is>
          <t>Unja a városi dugókat és a tömegközlekedés bizonytalanságát? A Segway Ninebot F2 E elektromos roller tökéletes választás azoknak, akik gyorsan és kényelmesen szeretnének közlekedni a városban. 
Az akár 25 km/h sebességre képes roller, 400 W-os motorjával sima és hatékony haladást biztosít, míg egy feltöltéssel akár 40 km-es távolságot is megtehet, így könnyedén eljuthat bárhová anélkül, hogy aggódnia kellene a töltés miatt. A roller összecsukható, így könnyedén szállítható vagy tárolható, méretei kinyitva 1143 x 570 x 1214 mm, összecsukva pedig mindössze 484 mm magasságú. Vízállósága (IPX5) révén esős napokon is biztonságban használható, a menetstabilizátor pedig még a meredek, 18%-os emelkedőkön is segít megtartani az irányítást. 
Az intelligens akkumulátor kezelő rendszer hosszabb élettartamot és biztonságosabb működést garantál, miközben a töltési idő mindössze 6,5 óra. A fékrendszer is kiemelkedő: hátul elektronikus fék, elöl tárcsafék, mindez pedig az első és hátsó irányjelzőkkel, valamint a nagy teljesítményű első és hátsó LED-es lámpákkal társul, biztosítva a láthatóságot és a biztonságos közlekedést, még sötétben is. Az önjavító pneumatikus gumiabroncsok zselés réteggel szúrásmentes utazást garantálnak, így kevesebb karbantartásra van szükség. A beépített Bluetooth kapcsolat és APP monitor segítségével folyamatosan nyomon követheti az útinformációkat, a színes műszerfal kijelzőn pedig minden fontos adat elérhető.
Ne hagyja ki ezt a modern, városi közlekedésre tökéletesített elektromos rollert! Vásárolja meg most a Segway Ninebot F2 E-t, és tapasztalja meg a kényelmes, gyors és biztonságos utazás élményét!</t>
        </is>
      </c>
    </row>
    <row r="1982">
      <c r="A1982" s="6" t="inlineStr">
        <is>
          <t>Home Kids</t>
        </is>
      </c>
      <c r="B1982" s="6" t="inlineStr">
        <is>
          <t/>
        </is>
      </c>
      <c r="C1982" s="6" t="inlineStr">
        <is>
          <t/>
        </is>
      </c>
      <c r="D1982" s="6" t="inlineStr">
        <is>
          <t/>
        </is>
      </c>
      <c r="E1982" s="6" t="inlineStr">
        <is>
          <t/>
        </is>
      </c>
      <c r="F1982" s="6" t="inlineStr">
        <is>
          <t/>
        </is>
      </c>
      <c r="G1982" s="6" t="inlineStr">
        <is>
          <t/>
        </is>
      </c>
    </row>
    <row r="1983">
      <c r="A1983" s="3" t="inlineStr">
        <is>
          <t>LED ANIMALS</t>
        </is>
      </c>
      <c r="B1983" s="2" t="inlineStr">
        <is>
          <t>Home Kids LED ANIMALS állatfigurás kulcstartó, műanyag, hang- és fényhatás, 12 db</t>
        </is>
      </c>
      <c r="C1983" s="1" t="n">
        <v>1250.0</v>
      </c>
      <c r="D1983" s="7" t="n">
        <f>HYPERLINK("https://www.somogyi.hu/product/home-kids-led-animals-allatfiguras-kulcstarto-muanyag-hang-es-fenyhatas-12-db-led-animals-15998","https://www.somogyi.hu/product/home-kids-led-animals-allatfiguras-kulcstarto-muanyag-hang-es-fenyhatas-12-db-led-animals-15998")</f>
        <v>0.0</v>
      </c>
      <c r="E1983" s="7" t="n">
        <f>HYPERLINK("https://www.somogyi.hu/data/img/product_main_images/small/15998.jpg","https://www.somogyi.hu/data/img/product_main_images/small/15998.jpg")</f>
        <v>0.0</v>
      </c>
      <c r="F1983" s="2" t="inlineStr">
        <is>
          <t>5999084940300</t>
        </is>
      </c>
      <c r="G1983" s="4" t="inlineStr">
        <is>
          <t>Mi az, ami mindig kéznél van, és könnyen mosolyt csalhat az arcára? Ismerje meg a LED ANIMALS állatfigurás kulcstartót!
Ezek a kis figurák minőségi műanyagból készültek, és igényes kialakítással büszkélkedhetnek. Az állatfigurák nem csak aranyosak, de hang- és fényhatással is rendelkeznek, ami még szórakoztatóbbá teszi őket.
A kulcstartó tápellátása egyszerű, mindössze 3 x 1,5 V LR1130 gombelemre van szükség, amelyek a csomag tartalmát képezik, így Ön sem marad le a vicces és praktikus kulcstartók varázslatáról.
Fontos, hogy ezt a terméket kizárólag displayben rendelheti! Válassza a LED ANIMALS kulcstartót, hogy feldobja kulcscsomóját!</t>
        </is>
      </c>
    </row>
    <row r="1984">
      <c r="A1984" s="3" t="inlineStr">
        <is>
          <t>VUK ML01</t>
        </is>
      </c>
      <c r="B1984" s="2" t="inlineStr">
        <is>
          <t>Home Kids VUK ML01 mennyezeti ufólámpa, Vuk, 2 oldalú, E14, max. 13 W</t>
        </is>
      </c>
      <c r="C1984" s="1" t="n">
        <v>1990.0</v>
      </c>
      <c r="D1984" s="7" t="n">
        <f>HYPERLINK("https://www.somogyi.hu/product/home-kids-vuk-ml01-mennyezeti-ufolampa-vuk-2-oldalu-e14-max-13-w-vuk-ml01-16120","https://www.somogyi.hu/product/home-kids-vuk-ml01-mennyezeti-ufolampa-vuk-2-oldalu-e14-max-13-w-vuk-ml01-16120")</f>
        <v>0.0</v>
      </c>
      <c r="E1984" s="7" t="n">
        <f>HYPERLINK("https://www.somogyi.hu/data/img/product_main_images/small/16120.jpg","https://www.somogyi.hu/data/img/product_main_images/small/16120.jpg")</f>
        <v>0.0</v>
      </c>
      <c r="F1984" s="2" t="inlineStr">
        <is>
          <t>5999084941529</t>
        </is>
      </c>
      <c r="G1984" s="4" t="inlineStr">
        <is>
          <t>A VUK ML01 Mennyezeti ufólámpa VUK mintájú díszperemmel ellátott, ezáltal a gyerekszobákat egyedivé teheti. A műanyag díszperem megfordítható, így kedvére kiválaszthatja, hogy melyik színű perem látszódjon. E 14-es foglalattal ellátott, melyet maximum 13 W-os fényforrással lehet használni.</t>
        </is>
      </c>
    </row>
    <row r="1985">
      <c r="A1985" s="3" t="inlineStr">
        <is>
          <t>BB AL01</t>
        </is>
      </c>
      <c r="B1985" s="2" t="inlineStr">
        <is>
          <t>Home Kids BB AL01 asztali lámpa, Bogyó és Babóca, fém + műanyag test, vászon búra, E14, max. 25 W,</t>
        </is>
      </c>
      <c r="C1985" s="1" t="n">
        <v>2590.0</v>
      </c>
      <c r="D1985" s="7" t="n">
        <f>HYPERLINK("https://www.somogyi.hu/product/home-kids-bb-al01-asztali-lampa-bogyo-es-baboca-fem-muanyag-test-vaszon-bura-e14-max-25-w-bb-al01-16122","https://www.somogyi.hu/product/home-kids-bb-al01-asztali-lampa-bogyo-es-baboca-fem-muanyag-test-vaszon-bura-e14-max-25-w-bb-al01-16122")</f>
        <v>0.0</v>
      </c>
      <c r="E1985" s="7" t="n">
        <f>HYPERLINK("https://www.somogyi.hu/data/img/product_main_images/small/16122.jpg","https://www.somogyi.hu/data/img/product_main_images/small/16122.jpg")</f>
        <v>0.0</v>
      </c>
      <c r="F1985" s="2" t="inlineStr">
        <is>
          <t>5999084941543</t>
        </is>
      </c>
      <c r="G1985" s="4" t="inlineStr">
        <is>
          <t>"A gyerekszoba kitüntetett pontja a lakásnak, hordoz valamilyen többletet, szeretetet sugároz. Ezt a többletet egy székről szóló hasonlattal írta le Kányádi Sándor költőnk: az asztalos épp olyan nagy gonddal faragja ki a felnőtt székét, mint a gyerekszéket, de a gyerekszékbe egy csepp lelket is belefarag: belekarcol egy tulipánt vagy egy napot, holdat, kisegeret, vagy akár lefesti vidám színekre. 
A gyerekszobának sok meghatározó pontja lehet, apró képek, amik örökre megmaradnak az emlékeinkben. Én is őrzök ilyen emlékképeket a gyerekkoromból, nagyon szerettem egy suba faliszőnyeget, amit édesanyám készített, egy őzike volt rajta… Később, anyaként én is hasonló gonddal, szeretettel szépítgettem a gyerekeim szobáját, hogy a tárgyak, amik körülveszik őket, békét, biztonságot nyújtsanak. 
A lámpa is fontos része a gyerekszobának, így örülök, hogy ez a két Bogyó és Babócás lámpa megvalósulhatott. 
A Somogyi Elektronic cég mindent megtett annak érdekében, hogy a lehető legjobb minőség és teljes elégedettség kísérje ezt az együttműködést. Amikor először megláttam a termékmintát, azonnal tudtam, hogy ez nekem való feladat, örömmel rajzoltam a kisvonat vagonjait a csillár búrájára, és a szivárványcsúszdát a kis asztali lámpára.
Számtalan változatot készítettem, kipróbáltam valódi méretben, rengeteg munka és odafigyelés rejlik a két megvalósult lámpa mögött. Bízom benne, hogy sok család otthonába hoz majd örömöt!" - Bartos Erika</t>
        </is>
      </c>
    </row>
    <row r="1986">
      <c r="A1986" s="3" t="inlineStr">
        <is>
          <t>VUK LC02</t>
        </is>
      </c>
      <c r="B1986" s="2" t="inlineStr">
        <is>
          <t>Home Kids VUK LC02 LED hangulatvilágítás, RGB, érintésvezérelt, USB töltő, ~6-7 óra üzemidő</t>
        </is>
      </c>
      <c r="C1986" s="1" t="n">
        <v>2590.0</v>
      </c>
      <c r="D1986" s="7" t="n">
        <f>HYPERLINK("https://www.somogyi.hu/product/home-kids-vuk-lc02-led-hangulatvilagitas-rgb-erintesvezerelt-usb-tolto-6-7-ora-uzemido-vuk-lc02-16123","https://www.somogyi.hu/product/home-kids-vuk-lc02-led-hangulatvilagitas-rgb-erintesvezerelt-usb-tolto-6-7-ora-uzemido-vuk-lc02-16123")</f>
        <v>0.0</v>
      </c>
      <c r="E1986" s="7" t="n">
        <f>HYPERLINK("https://www.somogyi.hu/data/img/product_main_images/small/16123.jpg","https://www.somogyi.hu/data/img/product_main_images/small/16123.jpg")</f>
        <v>0.0</v>
      </c>
      <c r="F1986" s="2" t="inlineStr">
        <is>
          <t>5999084941550</t>
        </is>
      </c>
      <c r="G1986" s="4" t="inlineStr">
        <is>
          <t>Vuk és barátai a gyerekszobába költöznek! 
Színskálán választhat világítási színt, érintéssel. 
Választható folyamatos egyszínű vagy átmenettel váltakozó világítás mód.</t>
        </is>
      </c>
    </row>
    <row r="1987">
      <c r="A1987" s="3" t="inlineStr">
        <is>
          <t>PM 01/BG</t>
        </is>
      </c>
      <c r="B1987" s="2" t="inlineStr">
        <is>
          <t>Home Kids PM 01/BG hangulatvilágítós plüssmackó</t>
        </is>
      </c>
      <c r="C1987" s="1" t="n">
        <v>8290.0</v>
      </c>
      <c r="D1987" s="7" t="n">
        <f>HYPERLINK("https://www.somogyi.hu/product/home-kids-pm-01-bg-hangulatvilagitos-plussmacko-pm-01-bg-15999","https://www.somogyi.hu/product/home-kids-pm-01-bg-hangulatvilagitos-plussmacko-pm-01-bg-15999")</f>
        <v>0.0</v>
      </c>
      <c r="E1987" s="7" t="n">
        <f>HYPERLINK("https://www.somogyi.hu/data/img/product_main_images/small/15999.jpg","https://www.somogyi.hu/data/img/product_main_images/small/15999.jpg")</f>
        <v>0.0</v>
      </c>
      <c r="F1987" s="2" t="inlineStr">
        <is>
          <t>5999084940317</t>
        </is>
      </c>
      <c r="G1987" s="4" t="inlineStr">
        <is>
          <t>A PM 01/BG Plüss mackó 8 db színváltós LED világítással ellátott, így a gyermekeknek alvás közben éjjeli hangulatfényként is üzemelhet. 
A puha plüss mackó a legkisebbek kedvenc játéka és alvótársa lesz. 
Tápellátásához 3 db 1,5 V (AA) elem szükséges, melyet a csomag nem tartalmaz. 
Mérete 45 x 30 x 16 cm. 
A játékban a LED fényforrás nem cserélhető.</t>
        </is>
      </c>
    </row>
    <row r="1988">
      <c r="A1988" s="3" t="inlineStr">
        <is>
          <t>LED ZOO</t>
        </is>
      </c>
      <c r="B1988" s="2" t="inlineStr">
        <is>
          <t>Home Kids LED ZOO állatfigurás kulcstartó, műanyag, hang- és fényhatás, 12 db</t>
        </is>
      </c>
      <c r="C1988" s="1" t="n">
        <v>1250.0</v>
      </c>
      <c r="D1988" s="7" t="n">
        <f>HYPERLINK("https://www.somogyi.hu/product/home-kids-led-zoo-allatfiguras-kulcstarto-muanyag-hang-es-fenyhatas-12-db-led-zoo-15024","https://www.somogyi.hu/product/home-kids-led-zoo-allatfiguras-kulcstarto-muanyag-hang-es-fenyhatas-12-db-led-zoo-15024")</f>
        <v>0.0</v>
      </c>
      <c r="E1988" s="7" t="n">
        <f>HYPERLINK("https://www.somogyi.hu/data/img/product_main_images/small/15024.jpg","https://www.somogyi.hu/data/img/product_main_images/small/15024.jpg")</f>
        <v>0.0</v>
      </c>
      <c r="F1988" s="2" t="inlineStr">
        <is>
          <t>5999084930585</t>
        </is>
      </c>
      <c r="G1988" s="4" t="inlineStr">
        <is>
          <t>Lepje meg gyermekét egy vidám állatfigurás kulcstartóval, amely nem csak igényes kialakítással rendelkezik, hanem hang- és fényeffektet is kibocsát! Válassza a minőségi termékeket és rendeljen webáruházunkból!</t>
        </is>
      </c>
    </row>
    <row r="1989">
      <c r="A1989" s="6" t="inlineStr">
        <is>
          <t xml:space="preserve">   Mobiltartozék, adapter / Mobilkészülék-tartó</t>
        </is>
      </c>
      <c r="B1989" s="6" t="inlineStr">
        <is>
          <t/>
        </is>
      </c>
      <c r="C1989" s="6" t="inlineStr">
        <is>
          <t/>
        </is>
      </c>
      <c r="D1989" s="6" t="inlineStr">
        <is>
          <t/>
        </is>
      </c>
      <c r="E1989" s="6" t="inlineStr">
        <is>
          <t/>
        </is>
      </c>
      <c r="F1989" s="6" t="inlineStr">
        <is>
          <t/>
        </is>
      </c>
      <c r="G1989" s="6" t="inlineStr">
        <is>
          <t/>
        </is>
      </c>
    </row>
    <row r="1990">
      <c r="A1990" s="3" t="inlineStr">
        <is>
          <t>SA064</t>
        </is>
      </c>
      <c r="B1990" s="2" t="inlineStr">
        <is>
          <t>SAL SA064 autós mobiltartó, szellőzőnyílásra helyezhető, forgatható, billenthető, egykezes, 65-80 mm telefon, 11 mm vastagság</t>
        </is>
      </c>
      <c r="C1990" s="1" t="n">
        <v>1750.0</v>
      </c>
      <c r="D1990" s="7" t="n">
        <f>HYPERLINK("https://www.somogyi.hu/product/sal-sa064-autos-mobiltarto-szellozonyilasra-helyezheto-forgathato-billentheto-egykezes-65-80-mm-telefon-11-mm-vastagsag-sa064-18374","https://www.somogyi.hu/product/sal-sa064-autos-mobiltarto-szellozonyilasra-helyezheto-forgathato-billentheto-egykezes-65-80-mm-telefon-11-mm-vastagsag-sa064-18374")</f>
        <v>0.0</v>
      </c>
      <c r="E1990" s="7" t="n">
        <f>HYPERLINK("https://www.somogyi.hu/data/img/product_main_images/small/18374.jpg","https://www.somogyi.hu/data/img/product_main_images/small/18374.jpg")</f>
        <v>0.0</v>
      </c>
      <c r="F1990" s="2" t="inlineStr">
        <is>
          <t>5999084963927</t>
        </is>
      </c>
      <c r="G1990" s="4" t="inlineStr">
        <is>
          <t>Ön is azt szeretné, hogy autóvezetés közben telefonja mindig kéznél legyen, de biztonságosan elhelyezve? A SAL SA064 autós mobiltartóval ez könnyedén megvalósítható. Kompakt, mégis rendkívül rugalmas kialakításának köszönhetően, a jármű szellőzőnyílására szerelhető, így a készülék stabilan, mégis könnyen elérhető helyen marad.
A forgatható és minden irányba billenthető mechanizmus lehetővé teszi, hogy a legkényelmesebb nézőszöget állíthassa be, miközben a telefon automatikusan illeszkedik a tartóhoz, biztosítva ezzel a készülék szilárd rögzítését.
Az egyszerű, egykezes használatnak köszönhetően, a telefon könnyedén helyezhető bele és vehető ki a tartóból, így a figyelme a vezetésen maradhat. A tartó kompakt méretei, 115 x 40 mm, üres állapotban is kevés helyet foglalnak, és a különböző vastagságú lamellákhoz való rögzítési lehetősége növeli a használati flexibilitást. 
Legyen szó vékony vagy vastagabb telefonról, a SAL SA064 autós mobiltartó akár 65 - 80 mm szélességű és 11 mm vastagságú készülékekhez is tökéletes társ lehet. Felszerelése és használata függ a jármű és a telefon specifikus adottságaitól, így minden helyzetben optimális megoldást kínál. Válassza a SAL SA064 modellt, hogy vezetés közben is biztonságban és kényelmesen érje el mobilját!</t>
        </is>
      </c>
    </row>
    <row r="1991">
      <c r="A1991" s="3" t="inlineStr">
        <is>
          <t>SA 024</t>
        </is>
      </c>
      <c r="B1991" s="2" t="inlineStr">
        <is>
          <t>SAL SA 024 tapadókorongos telefontartó, mobiltartó, 115 x 90 mm, 360° forgatható</t>
        </is>
      </c>
      <c r="C1991" s="1" t="n">
        <v>5390.0</v>
      </c>
      <c r="D1991" s="7" t="n">
        <f>HYPERLINK("https://www.somogyi.hu/product/sal-sa-024-tapadokorongos-telefontarto-mobiltarto-115-x-90-mm-360-forgathato-sa-024-8547","https://www.somogyi.hu/product/sal-sa-024-tapadokorongos-telefontarto-mobiltarto-115-x-90-mm-360-forgathato-sa-024-8547")</f>
        <v>0.0</v>
      </c>
      <c r="E1991" s="7" t="n">
        <f>HYPERLINK("https://www.somogyi.hu/data/img/product_main_images/small/08547.jpg","https://www.somogyi.hu/data/img/product_main_images/small/08547.jpg")</f>
        <v>0.0</v>
      </c>
      <c r="F1991" s="2" t="inlineStr">
        <is>
          <t>5998312774427</t>
        </is>
      </c>
      <c r="G1991" s="4" t="inlineStr">
        <is>
          <t>A tapadókorongos tartó professzionális rögzítést biztosít a hordozható készülékek számára. Könnyedén elhelyezhető szélvédőn, műszerfalon, vagy szellőzőnyíláson. A készülék további előnye, hogy sokoldalúan állítható. Válassza a minőségi termékeket és rendeljen webáruházunkból!</t>
        </is>
      </c>
    </row>
    <row r="1992">
      <c r="A1992" s="3" t="inlineStr">
        <is>
          <t>SA 062</t>
        </is>
      </c>
      <c r="B1992" s="2" t="inlineStr">
        <is>
          <t>SAL SA 062 autós telefontartó, 2in1, mobiltartó, csomagakasztó, fejtámla rúd rögzítés, 10 - 16 mm, 4 - 10 kg terhelés</t>
        </is>
      </c>
      <c r="C1992" s="1" t="n">
        <v>1750.0</v>
      </c>
      <c r="D1992" s="7" t="n">
        <f>HYPERLINK("https://www.somogyi.hu/product/sal-sa-062-autos-telefontarto-2in1-mobiltarto-csomagakaszto-fejtamla-rud-rogzites-10-16-mm-4-10-kg-terheles-sa-062-18182","https://www.somogyi.hu/product/sal-sa-062-autos-telefontarto-2in1-mobiltarto-csomagakaszto-fejtamla-rud-rogzites-10-16-mm-4-10-kg-terheles-sa-062-18182")</f>
        <v>0.0</v>
      </c>
      <c r="E1992" s="7" t="n">
        <f>HYPERLINK("https://www.somogyi.hu/data/img/product_main_images/small/18182.jpg","https://www.somogyi.hu/data/img/product_main_images/small/18182.jpg")</f>
        <v>0.0</v>
      </c>
      <c r="F1992" s="2" t="inlineStr">
        <is>
          <t>5999084962043</t>
        </is>
      </c>
      <c r="G1992" s="4" t="inlineStr">
        <is>
          <t>Szeretne egyszerre praktikus és helytakarékos megoldást az autóban? A SAL SA 062 autós telefontartó egy 2 az 1-ben megoldás, amely nem csak a mobiltelefon biztonságos elhelyezésére alkalmas, hanem egyben csomagakasztóként is funkcionál. 
Ideális, ha kényelmes megoldást keres arra, hogy a fejtámla mögött rögzítse a telefont vagy a hátul utazók számára biztosítson egy stabil tartót, amely megkönnyíti a filmnézést vagy üzenetek olvasását. A tartó a fejtámla rúdjára rögzíthető, és körbe forgatható, így a ráakasztott csomag elhelyezhető az ülés támlája mögött vagy akár előtte is. Tökéletes választás, ha szeretné biztonságosan tárolni táskáját, esernyőjét, italt vagy élelmiszert, így a jármű beltere rendezett maradhat utazás közben.
A telefontartó maximális szélessége 85 mm, így a legtöbb okostelefonnal kompatibilis, míg az akasztó 4-10 kg teherbírással rendelkezik, a csat pozíciójától függően. Az állítható tartórúd 10-16 mm átmérőjű, így biztosítva, hogy szinte minden autó fejtámlájára könnyedén felszerelhető legyen.
Ne hagyja, hogy az utazás közben rendetlenség alakuljon ki az autóban! Rendelje meg a SAL SA 062 autós telefontartót és csomagakasztót, és tegye kényelmesebbé az utazásokat a praktikus, multifunkcionális megoldásával!</t>
        </is>
      </c>
    </row>
    <row r="1993">
      <c r="A1993" s="3" t="inlineStr">
        <is>
          <t>SA065</t>
        </is>
      </c>
      <c r="B1993" s="2" t="inlineStr">
        <is>
          <t>SAL SA065 kerékpáros, rolleres mobiltartó, masszív tartóbilincs, biztonsági retesz, védett sarokelemek, gumi és szilikonbetétek, 18 - 45 mm kormányátmérőre</t>
        </is>
      </c>
      <c r="C1993" s="1" t="n">
        <v>7190.0</v>
      </c>
      <c r="D1993" s="7" t="n">
        <f>HYPERLINK("https://www.somogyi.hu/product/sal-sa065-kerekparos-rolleres-mobiltarto-massziv-tartobilincs-biztonsagi-retesz-vedett-sarokelemek-gumi-es-szilikonbetetek-18-45-mm-kormanyatmerore-sa065-18376","https://www.somogyi.hu/product/sal-sa065-kerekparos-rolleres-mobiltarto-massziv-tartobilincs-biztonsagi-retesz-vedett-sarokelemek-gumi-es-szilikonbetetek-18-45-mm-kormanyatmerore-sa065-18376")</f>
        <v>0.0</v>
      </c>
      <c r="E1993" s="7" t="n">
        <f>HYPERLINK("https://www.somogyi.hu/data/img/product_main_images/small/18376.jpg","https://www.somogyi.hu/data/img/product_main_images/small/18376.jpg")</f>
        <v>0.0</v>
      </c>
      <c r="F1993" s="2" t="inlineStr">
        <is>
          <t>5999084963941</t>
        </is>
      </c>
      <c r="G1993" s="4" t="inlineStr">
        <is>
          <t>Fedezd fel a várost új perspektívából a SAL SA065 mobiltartóval, amely tökéletes társ lesz kerékpáros, rolleres vagy motoros kalandjaid során! Ez a rendkívül sokoldalú mobiltartó többféle jármű, köztük roller, kerékpár, elektromos kerékpár, szobakerékpár, motor és még babakocsi kormányára is könnyedén szerelhető. Az erős tartóbilincs és a fém csavar garantálja, hogy a készüléked biztonságban marad még a legzordabb utakon is.
A tartó körbeforgatható és billenthető kialakítása lehetővé teszi, hogy kedvenc alkalmazásaidat, navigációt vagy zeneszámokat bármely szögből kényelmesen használhasd. A biztonsági retesz extra stabilitást biztosít, míg a gumi és szilikon betétek megóvják telefonodat a csúszástól és a karcolásoktól. A tartó adaptálható a legtöbb telefonhoz, ~130-180mm magasság és 55-85mm szélesség között, valamint a kormányátmérő esetében 18-45mm-ig.
Védd meg eszközöd biztonságát és élvezd a zökkenőmentes navigációt minden utad során, legyen szó városi cirkálásról vagy terepen való kalandról. A SAL SA065 mobiltartóval már semmi sem állhat a szabadtéri felfedezés útjába. Szállj fel járművedre, erősítsd oda eszközödet, és induljon a kaland – a tökéletes irányt már a kezedben tartod!</t>
        </is>
      </c>
    </row>
    <row r="1994">
      <c r="A1994" s="3" t="inlineStr">
        <is>
          <t>SA063</t>
        </is>
      </c>
      <c r="B1994" s="2" t="inlineStr">
        <is>
          <t>SAL SA063 autós mobiltartó, kb. 55 - 95 mm, félautomata, szellőzőre, egykezes, szilikon felület, forgatható, billenthető</t>
        </is>
      </c>
      <c r="C1994" s="1" t="n">
        <v>4990.0</v>
      </c>
      <c r="D1994" s="7" t="n">
        <f>HYPERLINK("https://www.somogyi.hu/product/sal-sa063-autos-mobiltarto-kb-55-95-mm-felautomata-szellozore-egykezes-szilikon-felulet-forgathato-billentheto-sa063-18375","https://www.somogyi.hu/product/sal-sa063-autos-mobiltarto-kb-55-95-mm-felautomata-szellozore-egykezes-szilikon-felulet-forgathato-billentheto-sa063-18375")</f>
        <v>0.0</v>
      </c>
      <c r="E1994" s="7" t="n">
        <f>HYPERLINK("https://www.somogyi.hu/data/img/product_main_images/small/18375.jpg","https://www.somogyi.hu/data/img/product_main_images/small/18375.jpg")</f>
        <v>0.0</v>
      </c>
      <c r="F1994" s="2" t="inlineStr">
        <is>
          <t>5999084963934</t>
        </is>
      </c>
      <c r="G1994" s="4" t="inlineStr">
        <is>
          <t>Sokat autózik, és szeretné biztonságosan használni telefonját vezetés közben? A SAL SA063 autós mobiltartó ideális megoldást kínál a kényelmes és biztonságos mobilhasználathoz vezetés közben. A tartó könnyen rögzíthető a jármű szellőzőnyílására, így a telefon mindig kéznél van, akár navigációhoz, akár hívások kezeléséhez.
A mobiltartó forgatható, fel-le és oldalra is billenthető funkciója lehetővé teszi a tökéletes nézőszög beállítását, így a kijelző minden helyzetben jól látható. Az egykezes, gyors és egyszerű használatának köszönhetően a telefon könnyen be- és kihelyezhető a tartóba. A csupán gombnyomásra szétnyíló rögzítő fülek biztosítják, hogy a készülék végig stabilan és biztonságosan a helyén maradjon kioldásig, míg a kihúzható alsó talpak extra stabilitást nyújtanak. A szilikon felületek óvják a telefont a karcolódásoktól és egyéb sérülésektől.
Az erős, fém akasztóval a tartó könnyen illeszkedik a vízszintes vagy függőleges szellőző lamellákhoz (10-36mm), míg a kb. 55-95mm telefon szélességig (kb. 4-7” képátló) alkalmazkodó kialakítás szinte minden készülékhez ideális.
Válassza a SAL SA063 autós mobiltartót, és élvezze a kényelmes, biztonságos mobilhasználatot vezetés közben. Rendelje meg most, és tegye autózását még kényelmesebbé és biztonságosabbá!</t>
        </is>
      </c>
    </row>
    <row r="1995">
      <c r="A1995" s="3" t="inlineStr">
        <is>
          <t>SA066</t>
        </is>
      </c>
      <c r="B1995" s="2" t="inlineStr">
        <is>
          <t>SAL SA066 autós mobiltartó, mobiltelefonhoz, táblagéphez, 4.7-12.9” képátlóig, hátsó utasok számára, fejtámlára szerelhető</t>
        </is>
      </c>
      <c r="C1995" s="1" t="n">
        <v>4790.0</v>
      </c>
      <c r="D1995" s="7" t="n">
        <f>HYPERLINK("https://www.somogyi.hu/product/sal-sa066-autos-mobiltarto-mobiltelefonhoz-tablagephez-4-7-12-9-kepatloig-hatso-utasok-szamara-fejtamlara-szerelheto-sa066-18564","https://www.somogyi.hu/product/sal-sa066-autos-mobiltarto-mobiltelefonhoz-tablagephez-4-7-12-9-kepatloig-hatso-utasok-szamara-fejtamlara-szerelheto-sa066-18564")</f>
        <v>0.0</v>
      </c>
      <c r="E1995" s="7" t="n">
        <f>HYPERLINK("https://www.somogyi.hu/data/img/product_main_images/small/18564.jpg","https://www.somogyi.hu/data/img/product_main_images/small/18564.jpg")</f>
        <v>0.0</v>
      </c>
      <c r="F1995" s="2" t="inlineStr">
        <is>
          <t>5999084965822</t>
        </is>
      </c>
      <c r="G1995" s="4" t="inlineStr">
        <is>
          <t>Szeretné kényelmesebbé tenni az utazást a hátsó ülésen utazók számára? A SAL SA066 autós mobiltartó tökéletes megoldást kínál, hogy a hátsó utasok is élvezhessék a modern technológia előnyeit útközben. 
Ez a 2 az 1-ben tartó mobiltelefonok és táblagépek számára egyaránt ideális, és könnyedén rögzíthető a fejtámla fém rudjára. A készülék 360 fokban körbe forgatható, így bármilyen szögből könnyen használható. Ez a praktikus telefontartó kiváló megoldás a gyermekek számára, hogy kényelmesen nézhessenek filmeket, vagy a felnőtteknek, hogy láthassák, ha üzenetük érkezik. A tartórúd átmérője 10-14 mm között állítható, így számos járműbe könnyen felszerelhető. A SAL SA066 autós mobiltartó masszív ABS műanyagból és fémből készült, gumírozott felületekkel a készülékek biztonságos rögzítéséhez. A készülék képátlója 4.7-12.9” között lehet, és rögzíthető mérete 140-230 mm között állítható.
Tegye kényelmesebbé és szórakoztatóbbá az utazást ezzel a sokoldalú autós mobiltartóval! Vásároljon most, és élvezze a zavartalan utazás előnyeit minden alkalommal!</t>
        </is>
      </c>
    </row>
    <row r="1996">
      <c r="A1996" s="6" t="inlineStr">
        <is>
          <t xml:space="preserve">   Mobiltartozék, adapter / USB-töltő</t>
        </is>
      </c>
      <c r="B1996" s="6" t="inlineStr">
        <is>
          <t/>
        </is>
      </c>
      <c r="C1996" s="6" t="inlineStr">
        <is>
          <t/>
        </is>
      </c>
      <c r="D1996" s="6" t="inlineStr">
        <is>
          <t/>
        </is>
      </c>
      <c r="E1996" s="6" t="inlineStr">
        <is>
          <t/>
        </is>
      </c>
      <c r="F1996" s="6" t="inlineStr">
        <is>
          <t/>
        </is>
      </c>
      <c r="G1996" s="6" t="inlineStr">
        <is>
          <t/>
        </is>
      </c>
    </row>
    <row r="1997">
      <c r="A1997" s="3" t="inlineStr">
        <is>
          <t>NEB-PBK-0006-G</t>
        </is>
      </c>
      <c r="B1997" s="2" t="inlineStr">
        <is>
          <t>NEBO NEB-PBK-0006-G ULTIMATE, Jump Starter, 12VDC/600 A 3mp, 1500 A max., kompresszor, 130 psi max., LCD kijelző, Smart Charge, indítókábelek</t>
        </is>
      </c>
      <c r="C1997" s="1" t="n">
        <v>112990.0</v>
      </c>
      <c r="D1997" s="7" t="n">
        <f>HYPERLINK("https://www.somogyi.hu/product/nebo-neb-pbk-0006-g-ultimate-jump-starter-12vdc-600-a-3mp-1500-a-max-kompresszor-130-psi-max-lcd-kijelzo-smart-charge-inditokabelek-neb-pbk-0006-g-18463","https://www.somogyi.hu/product/nebo-neb-pbk-0006-g-ultimate-jump-starter-12vdc-600-a-3mp-1500-a-max-kompresszor-130-psi-max-lcd-kijelzo-smart-charge-inditokabelek-neb-pbk-0006-g-18463")</f>
        <v>0.0</v>
      </c>
      <c r="E1997" s="7" t="n">
        <f>HYPERLINK("https://www.somogyi.hu/data/img/product_main_images/small/18463.jpg","https://www.somogyi.hu/data/img/product_main_images/small/18463.jpg")</f>
        <v>0.0</v>
      </c>
      <c r="F1997" s="2" t="inlineStr">
        <is>
          <t>5060945230943</t>
        </is>
      </c>
      <c r="G1997" s="4" t="inlineStr">
        <is>
          <t>Egy mindent tudó eszközt keres, amely segítségére van az úton? A NEBO ULTIMATE Jump Starter és kompresszor a tökéletes választás minden autótulajdonos számára. Ez a sokoldalú eszköz egy 15 000 mAh-s akkumulátorral rendelkezik, amely 55 500 mWh kapacitást biztosít, és segítségével könnyedén újraélesztheti autója akkumulátorát.
Az USB-C PD/QC3.0 20W-os bemenet/kimenet és az USB-A 5V 2,4A-os kimenet lehetővé teszi, hogy gyorsan töltse fel elektronikai eszközeit. Az AC kimenetével bárhol használhatja hálózati eszközeit, míg a Jump Start funkció 12VDC/600 A indítóáramot biztosít, csúcson akár 1500 A-t is képes leadni.
A beépített 130 PSI maximális nyomású légkompresszor ideális abroncsok, labdák vagy akár matracok felfújásához. A NEBO ULTIMATE nemcsak erős és rendkívül megbízható, hanem hordozható is, köszönhetően a kompakt méretének és a 1150 g-os tömegének.
Az intelligens Smart Charge technológia optimalizálja a töltést az eszközei számára, míg az átmenő töltés funkcióval egyszerre több eszközt is tölthet. A színes LCD kijelző könnyen olvasható és információt nyújt az eszköz állapotáról, a beépített fényvető pedig három különböző módban (fehér, piros, stroboszkóp) biztosít világítást vészhelyzetben.
A csomag tartalmazza az indítókábeleket, töltőcsatlakozókat és egy hordtáskát, így minden, amire szüksége lehet, kéznél van. Legyen felkészült bármilyen helyzetre az úton a NEBO ULTIMATE Jump Starter és kompresszorral!</t>
        </is>
      </c>
    </row>
    <row r="1998">
      <c r="A1998" s="3" t="inlineStr">
        <is>
          <t>NEB-PBK-0004-G</t>
        </is>
      </c>
      <c r="B1998" s="2" t="inlineStr">
        <is>
          <t>NEBO NEB-PBK-0004-G Assist-Air Jump Starter, 1500 A, 55,5 Wh akkumulátor, 120 PSI, 1x USB-A (2,1 A), 1x USB-C (20 W), 200 lm, indítás rásegítő</t>
        </is>
      </c>
      <c r="C1998" s="1" t="n">
        <v>103990.0</v>
      </c>
      <c r="D1998" s="7" t="n">
        <f>HYPERLINK("https://www.somogyi.hu/product/nebo-neb-pbk-0004-g-assist-air-jump-starter-1500-a-55-5-wh-akkumulator-120-psi-1x-usb-a-2-1-a-1x-usb-c-20-w-200-lm-inditas-rasegito-neb-pbk-0004-g-18237","https://www.somogyi.hu/product/nebo-neb-pbk-0004-g-assist-air-jump-starter-1500-a-55-5-wh-akkumulator-120-psi-1x-usb-a-2-1-a-1x-usb-c-20-w-200-lm-inditas-rasegito-neb-pbk-0004-g-18237")</f>
        <v>0.0</v>
      </c>
      <c r="E1998" s="7" t="n">
        <f>HYPERLINK("https://www.somogyi.hu/data/img/product_main_images/small/18237.jpg","https://www.somogyi.hu/data/img/product_main_images/small/18237.jpg")</f>
        <v>0.0</v>
      </c>
      <c r="F1998" s="2" t="inlineStr">
        <is>
          <t>5060945230875</t>
        </is>
      </c>
      <c r="G1998" s="4" t="inlineStr">
        <is>
          <t>Néha nem éppen a legjobbkor merül le az autó akkumulátora, igaz? Az ASSIST AIR JUMP STARTER nem csupán egy egyszerű indításrásegítő, ez egy multifunkciós segédeszköz, amely az Ön autója szolgálatában áll. Ezzel a kompakt, de erőteljes készülékkel, amely max. 1500 A áramerősségű beépített 55,5 Wh-s akkumulátorral rendelkezik, bármikor könnyedén újraindíthatja járművét. A töltöttség jelző LED és a digitális kijelző mindig tájékoztat az eszköz állapotáról.
Az ASSIST AIR nem csupán egy jump starter: a beépített légkompresszorral, amely automatikus érzékeléssel és 120 PSI teljesítménnyel büszkélkedik, könnyedén ellenőrizheti és szabályozhatja a gumiabroncsok nyomását. De várjunk csak, van még több! A készülék USB-A és USB-C portokkal is fel van szerelve, tehát mobiltelefonját vagy egyéb USB-ről tölthető eszközeit is töltheti. Ha pedig fény szükséges, egy 200 lumen fényerőjű LED lámpa is a rendelkezésére áll.
A tartozékok között indítókábel, 12 V-os autós töltő, USB-C adapter, levegőtömlő, cserélhető levegőfúvóka készlet, és egy mikroszálas tárolótáska is megtalálható. Mindezt 1,3 kg-os összsúly mellett és 251 x 124 x 46 mm méretekben.
Tehát, ha egy megbízható, mindenre képes segédeszközt keres az autójához, az ASSIST AIR JUMP STARTER az Ön választása lehet. Ne hagyja, hogy egy lemerült akkumulátor vagy alacsony gumiabroncs-nyomás megszakítsa az útját. Rendelje meg most, és legyen felkészült minden helyzetre!</t>
        </is>
      </c>
    </row>
    <row r="1999">
      <c r="A1999" s="3" t="inlineStr">
        <is>
          <t>NEB-PST-0004-G</t>
        </is>
      </c>
      <c r="B1999" s="2" t="inlineStr">
        <is>
          <t>NEBO NEB-PST-0004-G Rambler PS100, PowerBank, 95,9 Wh, 2x USB-A (2,4 A), 1x USB-C PD (45W), szolárpanel kompatibilis, 385 lm lámpa</t>
        </is>
      </c>
      <c r="C1999" s="1" t="n">
        <v>111990.0</v>
      </c>
      <c r="D1999" s="7" t="n">
        <f>HYPERLINK("https://www.somogyi.hu/product/nebo-neb-pst-0004-g-rambler-ps100-powerbank-95-9-wh-2x-usb-a-2-4-a-1x-usb-c-pd-45w-szolarpanel-kompatibilis-385-lm-lampa-neb-pst-0004-g-18238","https://www.somogyi.hu/product/nebo-neb-pst-0004-g-rambler-ps100-powerbank-95-9-wh-2x-usb-a-2-4-a-1x-usb-c-pd-45w-szolarpanel-kompatibilis-385-lm-lampa-neb-pst-0004-g-18238")</f>
        <v>0.0</v>
      </c>
      <c r="E1999" s="7" t="n">
        <f>HYPERLINK("https://www.somogyi.hu/data/img/product_main_images/small/18238.jpg","https://www.somogyi.hu/data/img/product_main_images/small/18238.jpg")</f>
        <v>0.0</v>
      </c>
      <c r="F1999" s="2" t="inlineStr">
        <is>
          <t>5060945230844</t>
        </is>
      </c>
      <c r="G1999" s="4" t="inlineStr">
        <is>
          <t>Elgondolkodott már azon, hogy egyetlen eszközzel megoldhatja az összes töltési igényét, legyen az okostelefon, vagy laptop? 
A RAMBLER PS100 egy univerzális, többfunkciós energiatároló, amely 95,9 Wh kapacitású beépített akkumulátorral rendelkezik. 
A töltöttség állapotát egy LED és egy digitális kijelző is mutatja, így mindig tudni fogja, mennyi energia áll még rendelkezésére.
Az eszköz vezeték nélküli töltési lehetőséget is kínál, 10W teljesítménnyel, és nem kevesebb mint két USB-A (5V/2,4A) és egy USB-C PD (45W) porttal van felszerelve. Ezek a portok nem csupán kimenetként, de bemenetként is működnek, ami kiválóan használható, ha például szolárpanellel szeretné feltölteni a készüléket. A DC bemenet pedig 12-24V közötti feszültségeloszlásban képes fogadni energiát, max. 50W teljesítményig, és szolárpanel kompatibilis.
Ráadásul a beépített 385 lumen fényerőjű LED lámpa lehetővé teszi, hogy sötétedés után is kényelmesen használja az eszközt. 
A csomag tartozékai között megtalálható egy 20W-os USB-PD töltőadapter, egy kb. 60 cm hosszú USB-C kábel, és egy 12V DC tápkábel.
Összegezve, a RAMBLER PS100 egy kompakt, de mégis univerzális energiatároló megoldás. Szerezze be még ma, és élvezze az energia szabadságát bárhol, bármikor!</t>
        </is>
      </c>
    </row>
    <row r="2000">
      <c r="A2000" s="3" t="inlineStr">
        <is>
          <t>SA 2000Qi</t>
        </is>
      </c>
      <c r="B2000" s="2" t="inlineStr">
        <is>
          <t>Home SA 2000Qi vezeték nélküli töltő, 3in1, telefon, óra, fülhallgató, Qi szabvány, USB-C</t>
        </is>
      </c>
      <c r="C2000" s="1" t="n">
        <v>7190.0</v>
      </c>
      <c r="D2000" s="7" t="n">
        <f>HYPERLINK("https://www.somogyi.hu/product/home-sa-2000qi-vezetek-nelkuli-tolto-3in1-telefon-ora-fulhallgato-qi-szabvany-usb-c-sa-2000qi-17098","https://www.somogyi.hu/product/home-sa-2000qi-vezetek-nelkuli-tolto-3in1-telefon-ora-fulhallgato-qi-szabvany-usb-c-sa-2000qi-17098")</f>
        <v>0.0</v>
      </c>
      <c r="E2000" s="7" t="n">
        <f>HYPERLINK("https://www.somogyi.hu/data/img/product_main_images/small/17098.jpg","https://www.somogyi.hu/data/img/product_main_images/small/17098.jpg")</f>
        <v>0.0</v>
      </c>
      <c r="F2000" s="2" t="inlineStr">
        <is>
          <t>5999084951306</t>
        </is>
      </c>
      <c r="G2000" s="4" t="inlineStr">
        <is>
          <t>Egy eszközzel töltené telefonját, okosóráját és fülhallgatóját ráadásul mindezeket egyszerre? A Home SA 2000Qi 3in1 vezeték nélküli töltő tökéletes megoldás mindazok számára, akik egyszerűsíteni szeretnék mindennapjaikat. 
Ez a modern töltőállomás lehetővé teszi, hogy egyetlen helyen, kábelek nélkül töltse fel telefonját, okosóráját és fülhallgatóját – mindezt egyidejűleg. Ráadásul a töltés kényelmesen egyetlen USB-C kábellel történik, így nem kell különböző kábelekkel és töltőkkel bajlódnia. A Qi szabványú vezeték nélküli töltési technológia biztosítja, hogy gyártótól függetlenül bármely kompatibilis készülék – legyen az Android operációs rendszerű vagy iPhone – könnyedén töltődjön, akár álló, akár fekvő helyzetben. Az okosóra (pl. Apple Watch) szintén vezeték nélkül csatlakozik, míg a fülhallgató (pl. AirPods) beépített Lightning csatlakozóval rendelkezik, így biztosítva a zavartalan töltést.
A többszínű LED töltésjelző azonnal informálja Önt a töltési állapotról, így mindig pontosan tudni fogja, mikor van készen eszköze. A csomag része egy USB / USB-C kábel, amely kb. 100 cm hosszú, így kényelmesen elhelyezhető asztalon vagy éjjeliszekrényen. Fontos, hogy a töltő megfelelő működéséhez 2A adapter szükséges (nem tartozék), ezért vásárlás előtt győződjön meg róla, hogy rendelkezik megfelelő adapterrel. Amennyiben nincs megfelelő töltője, úgy a Home SA 24USB hálózati töltő remek választás lehet. Kérjük, ellenőrizze, hogy eszközei támogatják-e a Qi szabványú töltést a zavartalan használat érdekében.
Ne maradjon le erről a kényelmes megoldásról! Válassza a Home SA 2000Qi 3in1 vezeték nélküli töltőt!</t>
        </is>
      </c>
    </row>
    <row r="2001">
      <c r="A2001" s="3" t="inlineStr">
        <is>
          <t>SA 24USB</t>
        </is>
      </c>
      <c r="B2001" s="2" t="inlineStr">
        <is>
          <t>Home SA 24USB hálózati töltő, 2db megosztott USB kimenet, egyidejűleg 2 készülék tölthető</t>
        </is>
      </c>
      <c r="C2001" s="1" t="n">
        <v>3590.0</v>
      </c>
      <c r="D2001" s="7" t="n">
        <f>HYPERLINK("https://www.somogyi.hu/product/home-sa-24usb-halozati-tolto-2db-megosztott-usb-kimenet-egyidejuleg-2-keszulek-toltheto-sa-24usb-16880","https://www.somogyi.hu/product/home-sa-24usb-halozati-tolto-2db-megosztott-usb-kimenet-egyidejuleg-2-keszulek-toltheto-sa-24usb-16880")</f>
        <v>0.0</v>
      </c>
      <c r="E2001" s="7" t="n">
        <f>HYPERLINK("https://www.somogyi.hu/data/img/product_main_images/small/16880.jpg","https://www.somogyi.hu/data/img/product_main_images/small/16880.jpg")</f>
        <v>0.0</v>
      </c>
      <c r="F2001" s="2" t="inlineStr">
        <is>
          <t>5999084949129</t>
        </is>
      </c>
      <c r="G2001" s="4" t="inlineStr">
        <is>
          <t>Hányszor találkozott már azzal a problémával, hogy egyszerre több készüléket szeretne tölteni, de nincs elég töltője? A Home SA 24USB hálózati töltővel ez a gond a múlté!
Ez a kiváló minőségű töltő 100-240 V~ / 50-60 Hz-es bemenettel rendelkezik, így gyakorlatilag bármilyen hálózati feszültségen képes működni. Legfőbb előnye azonban a két darab 5V/2,4A, összesen 2,4A megosztott USB kimenet, mely lehetővé teszi, hogy egyszerre két készüléket tölthessen. Legyen szó okostelefonról, táblagépről vagy más USB-n keresztül tölthető eszközről, a Home SA 24USB mindig a segítségére lesz!
Ne várja meg, amíg lemerülnek eszközei! Válassza a Home SA 24USB hálózati töltőt, és élvezze a gyors és hatékony töltést egyszerre két eszköz számára!</t>
        </is>
      </c>
    </row>
    <row r="2002">
      <c r="A2002" s="3" t="inlineStr">
        <is>
          <t>3.100110</t>
        </is>
      </c>
      <c r="B2002" s="2" t="inlineStr">
        <is>
          <t>SAL 3.100110 autós USB töltő, 2 USB aljzat, 1 kihúzható micro USB csatlakozó, 3.1 A megosztott</t>
        </is>
      </c>
      <c r="C2002" s="1" t="n">
        <v>1990.0</v>
      </c>
      <c r="D2002" s="7" t="n">
        <f>HYPERLINK("https://www.somogyi.hu/product/sal-3-100110-autos-usb-tolto-2-usb-aljzat-1-kihuzhato-micro-usb-csatlakozo-3-1-a-megosztott-3-100110-15949","https://www.somogyi.hu/product/sal-3-100110-autos-usb-tolto-2-usb-aljzat-1-kihuzhato-micro-usb-csatlakozo-3-1-a-megosztott-3-100110-15949")</f>
        <v>0.0</v>
      </c>
      <c r="E2002" s="7" t="n">
        <f>HYPERLINK("https://www.somogyi.hu/data/img/product_main_images/small/15949.jpg","https://www.somogyi.hu/data/img/product_main_images/small/15949.jpg")</f>
        <v>0.0</v>
      </c>
      <c r="F2002" s="2" t="inlineStr">
        <is>
          <t>7640167560295</t>
        </is>
      </c>
      <c r="G2002" s="4" t="inlineStr">
        <is>
          <t>A Q2 POWER 3.100110 Autós USB töltő 2 db USB kimenettel és 1 db kihúzható Micro- USB csatlakozóval ellátott, hogy egyidejűleg három készüléket is tölteni tudjon autójában. A prémium minőségű Q2 POWER termékek hosszú távú és megbízható használatot biztosítanak. 
Alkalmazható 12-24 V-os járművekben. 2 db megosztott USB kimenettel és 1 db Micro- USB csatlakozóval rendelkezik, melyek összesen 3,1 A árammal képesek tölteni készülékeit.
Az autós USB töltő elengedhetetlen a hosszú utazásokhoz.</t>
        </is>
      </c>
    </row>
    <row r="2003">
      <c r="A2003" s="3" t="inlineStr">
        <is>
          <t>SA 144</t>
        </is>
      </c>
      <c r="B2003" s="2" t="inlineStr">
        <is>
          <t>SAL SA 144 autós töltő, szivargyújtó hosszabbító, 3,6m, gyorskioldó, porvédő, F15A biztosíték</t>
        </is>
      </c>
      <c r="C2003" s="1" t="n">
        <v>3790.0</v>
      </c>
      <c r="D2003" s="7" t="n">
        <f>HYPERLINK("https://www.somogyi.hu/product/sal-sa-144-autos-tolto-szivargyujto-hosszabbito-3-6m-gyorskioldo-porvedo-f15a-biztositek-sa-144-16699","https://www.somogyi.hu/product/sal-sa-144-autos-tolto-szivargyujto-hosszabbito-3-6m-gyorskioldo-porvedo-f15a-biztositek-sa-144-16699")</f>
        <v>0.0</v>
      </c>
      <c r="E2003" s="7" t="n">
        <f>HYPERLINK("https://www.somogyi.hu/data/img/product_main_images/small/16699.jpg","https://www.somogyi.hu/data/img/product_main_images/small/16699.jpg")</f>
        <v>0.0</v>
      </c>
      <c r="F2003" s="2" t="inlineStr">
        <is>
          <t>5999084947316</t>
        </is>
      </c>
      <c r="G2003" s="4" t="inlineStr">
        <is>
          <t>Az SA 144 Autós töltő 3,6 m hosszú vezetékkel ellátott, melynek a végén 1 db 12 V-os kimenet és 1 db USB gyorstöltő kimenet található. Praktikus kialakítása által ideális a hátsó utasoknak a telefon töltéséhez vagy a csomagtartóban elhelyezett hűtőládák üzemeltetéséhez. A készülék felcsavarozható tartóval ellátott és egy gumi porvédő fedéllel, hogy ne szennyeződjön. 
Az USB kimenet 5 V- 2,4 A, valamint a 12 V kimenet 10 A maximum terhelést bír el. 
Az USB autós töltő elengedhetetlen a hosszú utazásokhoz, nyaralásokhoz.</t>
        </is>
      </c>
    </row>
    <row r="2004">
      <c r="A2004" s="3" t="inlineStr">
        <is>
          <t>SA 50USB</t>
        </is>
      </c>
      <c r="B2004" s="2" t="inlineStr">
        <is>
          <t>Home SA 50USB USB hálózati töltő, nagyáramú gyorstöltés, 4db 5V/3,1 A megosztott USB kimenet</t>
        </is>
      </c>
      <c r="C2004" s="1" t="n">
        <v>6890.0</v>
      </c>
      <c r="D2004" s="7" t="n">
        <f>HYPERLINK("https://www.somogyi.hu/product/home-sa-50usb-usb-halozati-tolto-nagyaramu-gyorstoltes-4db-5v-3-1-a-megosztott-usb-kimenet-sa-50usb-16881","https://www.somogyi.hu/product/home-sa-50usb-usb-halozati-tolto-nagyaramu-gyorstoltes-4db-5v-3-1-a-megosztott-usb-kimenet-sa-50usb-16881")</f>
        <v>0.0</v>
      </c>
      <c r="E2004" s="7" t="n">
        <f>HYPERLINK("https://www.somogyi.hu/data/img/product_main_images/small/16881.jpg","https://www.somogyi.hu/data/img/product_main_images/small/16881.jpg")</f>
        <v>0.0</v>
      </c>
      <c r="F2004" s="2" t="inlineStr">
        <is>
          <t>5999084949136</t>
        </is>
      </c>
      <c r="G2004" s="4" t="inlineStr">
        <is>
          <t>Az SA 50 USB Adapter 4 db USB aljzattal ellátott, így egyidejűleg négy készülék is tölthető a segítségével. A 4 db megosztott USB kimenet aljzatonként maximum 3,1 A, összesen pedig maximum 5 A árammal képesek tölteni készülékeit. Nagyáramú, 3,1 A-es töltési lehetőség gyorstöltést funkciót biztosít.
Bemenete 100-240 V. 
Ha elvesztette készülékéhez tartozó töltő adapterét vagy csak egyszerre 4 eszközt szeretne tölteni, úgy az SA 50 USB termékünk lesz a legmegfelelőbb erre.</t>
        </is>
      </c>
    </row>
    <row r="2005">
      <c r="A2005" s="3" t="inlineStr">
        <is>
          <t>SAU 24MU</t>
        </is>
      </c>
      <c r="B2005" s="2" t="inlineStr">
        <is>
          <t>SAL SAU 24MU autós USB töltő 2in1, 2 készülék, USB, microUSB, 2,4 A összesen</t>
        </is>
      </c>
      <c r="C2005" s="1" t="n">
        <v>999.0</v>
      </c>
      <c r="D2005" s="7" t="n">
        <f>HYPERLINK("https://www.somogyi.hu/product/sal-sau-24mu-autos-usb-tolto-2in1-2-keszulek-usb-microusb-2-4-a-osszesen-sau-24mu-17701","https://www.somogyi.hu/product/sal-sau-24mu-autos-usb-tolto-2in1-2-keszulek-usb-microusb-2-4-a-osszesen-sau-24mu-17701")</f>
        <v>0.0</v>
      </c>
      <c r="E2005" s="7" t="n">
        <f>HYPERLINK("https://www.somogyi.hu/data/img/product_main_images/small/17701.jpg","https://www.somogyi.hu/data/img/product_main_images/small/17701.jpg")</f>
        <v>0.0</v>
      </c>
      <c r="F2005" s="2" t="inlineStr">
        <is>
          <t>5999084957230</t>
        </is>
      </c>
      <c r="G2005" s="4" t="inlineStr">
        <is>
          <t>Megbízható autós töltőt keres, amely képes egyszerre két készüléket is tölteni útközben? A Home SAU24MU tökéletes választás azok számára, akik gyakran utaznak és szükségük van egy univerzális töltőre járműveikben.
Ez a praktikus készülék egy USB aljzattal és egy spirál vezetéken elhelyezett microUSB dugóval rendelkezik, így lehetővé teszi két készülék egyidejű töltését, például egy okostelefont és egy táblagépet. A működést jelző LED biztosítja, hogy mindig tudja, amikor a töltő aktív és működik. A Home SAU24MU töltő 5V/2,4A összterhelhetőséggel rendelkezik, ami biztosítja a gyors és hatékony töltést.
További előnye, hogy 12-24 V-os járművekben egyaránt használható, így személyautókban, teherautókban és buszokban is tökéletesen működik. Fontos megjegyezni, hogy a Home SAU24MU töltőt csak abban az esetben használja, ha készülékének gyártója nem ír elő más típusú töltőt. Biztonsága és készüléke hosszú élettartama érdekében mindig kövesse a gyártó utasításait.
Válassza a Home SAU24MU töltőt, ha egy megbízható, sokoldalú és könnyen használható autós töltőt keres, amely képes egyszerre két készüléket is tölteni. Rendelje meg most, és soha többé ne maradjon lemerült akkumulátorral útközben!</t>
        </is>
      </c>
    </row>
    <row r="2006">
      <c r="A2006" s="3" t="inlineStr">
        <is>
          <t>SAU34AC</t>
        </is>
      </c>
      <c r="B2006" s="2" t="inlineStr">
        <is>
          <t>SAL SAU34AC autós USB töltő, 2in1, USB-A, USB-C, gyorstöltő, dupla töltő</t>
        </is>
      </c>
      <c r="C2006" s="1" t="n">
        <v>1590.0</v>
      </c>
      <c r="D2006" s="7" t="n">
        <f>HYPERLINK("https://www.somogyi.hu/product/sal-sau34ac-autos-usb-tolto-2in1-usb-a-usb-c-gyorstolto-dupla-tolto-sau34ac-18708","https://www.somogyi.hu/product/sal-sau34ac-autos-usb-tolto-2in1-usb-a-usb-c-gyorstolto-dupla-tolto-sau34ac-18708")</f>
        <v>0.0</v>
      </c>
      <c r="E2006" s="7" t="n">
        <f>HYPERLINK("https://www.somogyi.hu/data/img/product_main_images/small/18708.jpg","https://www.somogyi.hu/data/img/product_main_images/small/18708.jpg")</f>
        <v>0.0</v>
      </c>
      <c r="F2006" s="2" t="inlineStr">
        <is>
          <t>5999084967260</t>
        </is>
      </c>
      <c r="G2006" s="4" t="inlineStr">
        <is>
          <t>Unja már, hogy egyszerre csak egy készüléket tölthet az autójában? A SAL SAU34AC autós USB töltő a megoldás, amelyet keresett! 
Ez a praktikus eszköz lehetővé teszi két készülék egyidejű töltését, köszönhetően az USB-A és USB-C aljzatoknak. Akár 5V/3.4A összes terhelhetőséggel rendelkezik, így biztosítva a gyors és hatékony töltést mindkét eszköz számára. Az autós töltő működését jelző LED-del van ellátva, így mindig tudni fogja, hogy a készülék megfelelően működik-e. A SAL SAU34AC kompatibilis 12V-os és 24V-os járművekkel is, így szinte bármilyen autóban használható.
Ne várjon tovább, hogy egyszerre több eszközt is gond nélkül tölthessen az autójában! Rendelje meg most a SAL SAU34AC autós USB töltőt, és élvezze a kényelmes és hatékony töltést útközben is!</t>
        </is>
      </c>
    </row>
    <row r="2007">
      <c r="A2007" s="3" t="inlineStr">
        <is>
          <t>3.100130</t>
        </is>
      </c>
      <c r="B2007" s="2" t="inlineStr">
        <is>
          <t>Q2 POWER 3.100130 autós USB töltő, 2 USB aljzat, 1 kihúzható USB type C csatlakozó, 3.1 A megosztott</t>
        </is>
      </c>
      <c r="C2007" s="1" t="n">
        <v>2590.0</v>
      </c>
      <c r="D2007" s="7" t="n">
        <f>HYPERLINK("https://www.somogyi.hu/product/q2-power-3-100130-autos-usb-tolto-2-usb-aljzat-1-kihuzhato-usb-type-c-csatlakozo-3-1-a-megosztott-3-100130-15951","https://www.somogyi.hu/product/q2-power-3-100130-autos-usb-tolto-2-usb-aljzat-1-kihuzhato-usb-type-c-csatlakozo-3-1-a-megosztott-3-100130-15951")</f>
        <v>0.0</v>
      </c>
      <c r="E2007" s="7" t="n">
        <f>HYPERLINK("https://www.somogyi.hu/data/img/product_main_images/small/15951.jpg","https://www.somogyi.hu/data/img/product_main_images/small/15951.jpg")</f>
        <v>0.0</v>
      </c>
      <c r="F2007" s="2" t="inlineStr">
        <is>
          <t>7640167560318</t>
        </is>
      </c>
      <c r="G2007" s="4" t="inlineStr">
        <is>
          <t>A Q2 POWER 3.100130 Autós USB töltő 2 db USB kimenettel és 1 db kihúzható USB- C csatlakozóval ellátott, hogy egyidejűleg három készüléket is tölteni tudjon autójában. A prémium minőségű Q2 POWER termékek hosszú távú és megbízható használatot biztosítanak. 
Alkalmazható 12-24 V-os járművekben. 2 db megosztott USB kimenettel és 1 db USB- C csatlakozóval rendelkezik, melyek összesen 3,1 A árammal képesek tölteni készülékeit.
Az autós USB töltő elengedhetetlen a hosszú utazásokhoz.</t>
        </is>
      </c>
    </row>
    <row r="2008">
      <c r="A2008" s="3" t="inlineStr">
        <is>
          <t>SAU 96</t>
        </is>
      </c>
      <c r="B2008" s="2" t="inlineStr">
        <is>
          <t>SAL SAU 96 nagy teljesítményű autós USB gyorstöltő, 48 W, 4 USB port, 4 x 2,4 A</t>
        </is>
      </c>
      <c r="C2008" s="1" t="n">
        <v>4290.0</v>
      </c>
      <c r="D2008" s="7" t="n">
        <f>HYPERLINK("https://www.somogyi.hu/product/sal-sau-96-nagy-teljesitmenyu-autos-usb-gyorstolto-48-w-4-usb-port-4-x-2-4-a-sau-96-16877","https://www.somogyi.hu/product/sal-sau-96-nagy-teljesitmenyu-autos-usb-gyorstolto-48-w-4-usb-port-4-x-2-4-a-sau-96-16877")</f>
        <v>0.0</v>
      </c>
      <c r="E2008" s="7" t="n">
        <f>HYPERLINK("https://www.somogyi.hu/data/img/product_main_images/small/16877.jpg","https://www.somogyi.hu/data/img/product_main_images/small/16877.jpg")</f>
        <v>0.0</v>
      </c>
      <c r="F2008" s="2" t="inlineStr">
        <is>
          <t>5999084949099</t>
        </is>
      </c>
      <c r="G2008" s="4" t="inlineStr">
        <is>
          <t>Szeretné, ha minden utasa egyszerre tölthetné készülékeit utazás közben? A SAL SAU 96 autós USB gyorstöltő ideális választás azok számára, akik több eszközt szeretnének egyszerre és gyorsan tölteni egy hosszabb autós út során. 
Ez a 48 W-os töltő akár 4 készüléket is képes egyidejűleg tölteni, így az elöl és hátul ülők számára is biztosítja a folyamatos áramellátást. A töltő 4 db USB porttal rendelkezik, mindegyik port 2,4 A-es teljesítményt nyújt, ami extra gyors töltést tesz lehetővé minden csatlakoztatott eszköz számára. A töltőt bármilyen 12-24 V-os járműben használhatja, legyen szó személyautóról vagy teherautóról, így rugalmasan alkalmazható különböző közlekedési eszközökben. Az 1,8 méter hosszú kábel elegendő távolságot biztosít ahhoz, hogy a hátsó üléseken utazók is kényelmesen hozzáférjenek a töltőhöz.
Legyen szó okostelefonról, táblagépről vagy más USB-vel tölthető eszközről, a SAL SAU 96 autós gyorstöltő garantálja a gyors és hatékony töltést, így eszközei mindig készen állnak a használatra, még hosszú utazások során is.
Ne maradjon töltés nélkül! Rendelje meg most a SAL SAU 96 autós gyorstöltőt, és biztosítsa utasai számára a kényelmes és gyors töltést minden utazás során!</t>
        </is>
      </c>
    </row>
    <row r="2009">
      <c r="A2009" s="3" t="inlineStr">
        <is>
          <t>NV 2100 USB</t>
        </is>
      </c>
      <c r="B2009" s="2" t="inlineStr">
        <is>
          <t>Home NV 2100 USB hálózati aljzat USB töltőaljzatokkal, 2xUSB töltőaljzat 5V/max.2,1A, földelt hálózati aljzat gyermekvédő zsaluval</t>
        </is>
      </c>
      <c r="C2009" s="1" t="n">
        <v>3790.0</v>
      </c>
      <c r="D2009" s="7" t="n">
        <f>HYPERLINK("https://www.somogyi.hu/product/home-nv-2100-usb-halozati-aljzat-usb-toltoaljzatokkal-2xusb-toltoaljzat-5v-max-2-1a-foldelt-halozati-aljzat-gyermekvedo-zsaluval-nv-2100-usb-15704","https://www.somogyi.hu/product/home-nv-2100-usb-halozati-aljzat-usb-toltoaljzatokkal-2xusb-toltoaljzat-5v-max-2-1a-foldelt-halozati-aljzat-gyermekvedo-zsaluval-nv-2100-usb-15704")</f>
        <v>0.0</v>
      </c>
      <c r="E2009" s="7" t="n">
        <f>HYPERLINK("https://www.somogyi.hu/data/img/product_main_images/small/15704.jpg","https://www.somogyi.hu/data/img/product_main_images/small/15704.jpg")</f>
        <v>0.0</v>
      </c>
      <c r="F2009" s="2" t="inlineStr">
        <is>
          <t>5999084937386</t>
        </is>
      </c>
      <c r="G2009" s="4" t="inlineStr">
        <is>
          <t>Az NV 2100 USB hálózati aljzat összesen 2 x USB töltőaljzattal rendelkezik. A termék előnye, hogy a földelt hálózati aljzaton gyermekvédő zsalu található. Válassza a minőségi termékeket és rendeljen webáruházunkból!</t>
        </is>
      </c>
    </row>
    <row r="2010">
      <c r="A2010" s="3" t="inlineStr">
        <is>
          <t>SAU 24C</t>
        </is>
      </c>
      <c r="B2010" s="2" t="inlineStr">
        <is>
          <t>SAL SAU 24C autós USB töltő 2in1, 2 készülék, USB, USB-C, 2,4 A összesen</t>
        </is>
      </c>
      <c r="C2010" s="1" t="n">
        <v>2290.0</v>
      </c>
      <c r="D2010" s="7" t="n">
        <f>HYPERLINK("https://www.somogyi.hu/product/sal-sau-24c-autos-usb-tolto-2in1-2-keszulek-usb-usb-c-2-4-a-osszesen-sau-24c-17702","https://www.somogyi.hu/product/sal-sau-24c-autos-usb-tolto-2in1-2-keszulek-usb-usb-c-2-4-a-osszesen-sau-24c-17702")</f>
        <v>0.0</v>
      </c>
      <c r="E2010" s="7" t="n">
        <f>HYPERLINK("https://www.somogyi.hu/data/img/product_main_images/small/17702.jpg","https://www.somogyi.hu/data/img/product_main_images/small/17702.jpg")</f>
        <v>0.0</v>
      </c>
      <c r="F2010" s="2" t="inlineStr">
        <is>
          <t>5999084957247</t>
        </is>
      </c>
      <c r="G2010" s="4" t="inlineStr">
        <is>
          <t>Szeretne egyszerre két készüléket gyorsan és hatékonyan feltölteni útközben? A SAL SAU 24C autós USB töltő ideális megoldás azok számára, akik több eszközt szeretnének tölteni vezetés közben. 
Ez a 2in1 töltő egy USB aljzattal és egy USB-C csatlakozóval rendelkezik, így egyszerre két készüléket – például okostelefont, táblagépet vagy más USB-s eszközt – is tölthet. A spirál vezetékkel rendelkező USB-C csatlakozó biztosítja a kényelmes használatot, miközben a kábelek nem lesznek útban az autóban. A töltő 5 V / 2,4 A összterhelhetőséggel bír, így gyorsan és hatékonyan képes tölteni mindkét eszközt egyszerre. A beépített LED működésjelző pedig egyértelműen mutatja, ha a töltő működésben van, így mindig tudhatja, hogy eszközei kapják az áramot. Az autós töltő 12-24 V-os járművekben is alkalmazható, így személyautókban, teherautókban és más járművekben is egyaránt használható.
Ne hagyja, hogy készülékei lemerüljenek utazás közben! Válassza a SAL SAU 24C autós USB töltőt, és biztosítsa a folyamatos energiát minden eszköze számára!</t>
        </is>
      </c>
    </row>
    <row r="2011">
      <c r="A2011" s="3" t="inlineStr">
        <is>
          <t>SA 2000MU</t>
        </is>
      </c>
      <c r="B2011" s="2" t="inlineStr">
        <is>
          <t>Home SA 2000MU hálózati adapter, microUSB, 1 méter vezeték, 2 A, 5 V, fehér</t>
        </is>
      </c>
      <c r="C2011" s="1" t="n">
        <v>2590.0</v>
      </c>
      <c r="D2011" s="7" t="n">
        <f>HYPERLINK("https://www.somogyi.hu/product/home-sa-2000mu-halozati-adapter-microusb-1-meter-vezetek-2-a-5-v-feher-sa-2000mu-16227","https://www.somogyi.hu/product/home-sa-2000mu-halozati-adapter-microusb-1-meter-vezetek-2-a-5-v-feher-sa-2000mu-16227")</f>
        <v>0.0</v>
      </c>
      <c r="E2011" s="7" t="n">
        <f>HYPERLINK("https://www.somogyi.hu/data/img/product_main_images/small/16227.jpg","https://www.somogyi.hu/data/img/product_main_images/small/16227.jpg")</f>
        <v>0.0</v>
      </c>
      <c r="F2011" s="2" t="inlineStr">
        <is>
          <t>5999084942595</t>
        </is>
      </c>
      <c r="G2011" s="4" t="inlineStr">
        <is>
          <t>Az SA 2000 MU Hálózati adapter micro USB aljzatú, 5 V egyenáramú készülékekhez alkalmazható maximum 2000 mA áramfelvételig. 
A csatlakozó vezeték 100 cm hosszú.</t>
        </is>
      </c>
    </row>
    <row r="2012">
      <c r="A2012" s="6" t="inlineStr">
        <is>
          <t xml:space="preserve">   Mobiltartozék, adapter / USB csatlakozókábel</t>
        </is>
      </c>
      <c r="B2012" s="6" t="inlineStr">
        <is>
          <t/>
        </is>
      </c>
      <c r="C2012" s="6" t="inlineStr">
        <is>
          <t/>
        </is>
      </c>
      <c r="D2012" s="6" t="inlineStr">
        <is>
          <t/>
        </is>
      </c>
      <c r="E2012" s="6" t="inlineStr">
        <is>
          <t/>
        </is>
      </c>
      <c r="F2012" s="6" t="inlineStr">
        <is>
          <t/>
        </is>
      </c>
      <c r="G2012" s="6" t="inlineStr">
        <is>
          <t/>
        </is>
      </c>
    </row>
    <row r="2013">
      <c r="A2013" s="3" t="inlineStr">
        <is>
          <t>USBC A2</t>
        </is>
      </c>
      <c r="B2013" s="2" t="inlineStr">
        <is>
          <t>Home USBC A2 átalakító, USB-A dugó, USB-C aljzat, 2,1 A, 240 Mbps</t>
        </is>
      </c>
      <c r="C2013" s="1" t="n">
        <v>1850.0</v>
      </c>
      <c r="D2013" s="7" t="n">
        <f>HYPERLINK("https://www.somogyi.hu/product/home-usbc-a2-atalakito-usb-a-dugo-usb-c-aljzat-2-1-a-240-mbps-usbc-a2-18181","https://www.somogyi.hu/product/home-usbc-a2-atalakito-usb-a-dugo-usb-c-aljzat-2-1-a-240-mbps-usbc-a2-18181")</f>
        <v>0.0</v>
      </c>
      <c r="E2013" s="7" t="n">
        <f>HYPERLINK("https://www.somogyi.hu/data/img/product_main_images/small/18181.jpg","https://www.somogyi.hu/data/img/product_main_images/small/18181.jpg")</f>
        <v>0.0</v>
      </c>
      <c r="F2013" s="2" t="inlineStr">
        <is>
          <t>5999084962036</t>
        </is>
      </c>
      <c r="G2013" s="4" t="inlineStr">
        <is>
          <t>Hogyan hidalhatja át az USB-csatlakozók közötti különbségeket, hogy gondtalanul tölthessen és továbbíthasson adatokat különféle eszközök között?
A Home USBC A2 átalakító ideális választás, ha régi és új típusú eszközeit szeretné összekapcsolni. Ez az USB-A dugóval és USB-C aljzattal ellátott átalakító egyszerűvé és gyorssá teszi a csatlakozást különböző eszközök között, legyen szó töltésről vagy adatátvitelről.
Kiváló kompatibilitás és gyors adatátvitel
Az USB-A dugó és USB-C aljzat kombinációja lehetővé teszi, hogy hagyományos USB-porttal rendelkező töltőkkel, számítógépekkel vagy egyéb eszközökkel összekapcsolja modern, USB-C csatlakozós készülékeit. Az átalakító támogatja az USB 2.0 szabványt, amely akár 240 Mbps adatátviteli sebességet tesz lehetővé, így biztosítva a gyors fájlátvitelt különböző eszközök között. Ezen felül a 2,1 A áramerősség révén hatékony és biztonságos töltést nyújt, akár okostelefonokhoz, táblagépekhez vagy más USB-C csatlakozós eszközökhöz.
Tartós kialakítás és stabil teljesítmény
A Home USBC A2 átalakítót strapabíró anyagokból tervezték, így hosszú távon is megbízhatóan használható. A precízen illeszkedő csatlakozók biztosítják a stabil kapcsolatot, így elkerülhető a töltés vagy adatátvitel közbeni megszakadás. Kompakt méretének köszönhetően könnyen hordozható, így mindig kéznél lehet, ha szükség van rá.
Miért érdemes a Home USBC A2 átalakítót választani?
- Kiváló megoldást nyújt az USB-A és USB-C csatlakozók közötti áthidalásra
- 240 Mbps adatátviteli sebességet biztosít az USB 2.0 szabvány szerint
- 2,1 A áramerősségű töltést nyújt, így gyors és biztonságos töltést garantál
- Kompakt és strapabíró kialakítása révén hosszú távon megbízhatóan használható
Ne hagyja, hogy a különböző csatlakozótípusok akadályozzák a készülékei közötti kapcsolatot! Válassza a Home USBC A2 átalakítót, és élvezze a gondtalan töltést és gyors adatátvitelt bármikor!</t>
        </is>
      </c>
    </row>
    <row r="2014">
      <c r="A2014" s="3" t="inlineStr">
        <is>
          <t>USBCC 60</t>
        </is>
      </c>
      <c r="B2014" s="2" t="inlineStr">
        <is>
          <t>Home USBCC 60 töltőkábel, USB-C/USB-C, QC, PD, 60 Wmax, 1m, 3A, adatkábel, 480 Mbps</t>
        </is>
      </c>
      <c r="C2014" s="1" t="n">
        <v>2890.0</v>
      </c>
      <c r="D2014" s="7" t="n">
        <f>HYPERLINK("https://www.somogyi.hu/product/home-usbcc-60-toltokabel-usb-c-usb-c-qc-pd-60-wmax-1m-3a-adatkabel-480-mbps-usbcc-60-18179","https://www.somogyi.hu/product/home-usbcc-60-toltokabel-usb-c-usb-c-qc-pd-60-wmax-1m-3a-adatkabel-480-mbps-usbcc-60-18179")</f>
        <v>0.0</v>
      </c>
      <c r="E2014" s="7" t="n">
        <f>HYPERLINK("https://www.somogyi.hu/data/img/product_main_images/small/18179.jpg","https://www.somogyi.hu/data/img/product_main_images/small/18179.jpg")</f>
        <v>0.0</v>
      </c>
      <c r="F2014" s="2" t="inlineStr">
        <is>
          <t>5999084962012</t>
        </is>
      </c>
      <c r="G2014" s="4" t="inlineStr">
        <is>
          <t>Ön is gyakran találja magát olyan helyzetben, ahol gyorsan kellene töltenie eszközeit, de nem rendelkezik megfelelő kábellel? A Home USBCC 60 töltőkábel a modern technológiai igényekre választ adó eszköz, amely nem csak a hagyományos töltést, hanem a Quick Charge (QC) és a Power Delivery (PD) gyorstöltési szabványokat is támogatja, így készülékei pillanatok alatt újra használatra készen állhatnak.
Az USB2.0 szabvány biztosítja a stabil adatátvitelt akár 480 Mbps sebességgel, míg a 20V, 3A valamint 60W-os kimeneti teljesítmény rendkívül terhelhetővé teszi a kábelt, így az újabb generációs notebookok és mobilkészülékek töltésére is alkalmas. A körülbelül 1 méter hosszúságú kábel kényelmet biztosít, legyen szó otthoni, irodai vagy utazáskor történő használatról.
Ráadásul ez a töltőkábel adatkábelként is funkcionál, lehetővé téve fájlok gyors átvitelét eszközei és számítógépe között. Fedezze fel a Home USBCC 60 töltőkábel nyújtotta sokoldalúságot, és tegye hatékonnyá eszközeinek töltését és adatkezelését!</t>
        </is>
      </c>
    </row>
    <row r="2015">
      <c r="A2015" s="3" t="inlineStr">
        <is>
          <t>USBC 1</t>
        </is>
      </c>
      <c r="B2015" s="2" t="inlineStr">
        <is>
          <t>Home USBC 1 töltőkábel, USB-A/USB-C, 1m, 2,1A, adatkábel</t>
        </is>
      </c>
      <c r="C2015" s="1" t="n">
        <v>2290.0</v>
      </c>
      <c r="D2015" s="7" t="n">
        <f>HYPERLINK("https://www.somogyi.hu/product/home-usbc-1-toltokabel-usb-a-usb-c-1m-2-1a-adatkabel-usbc-1-15819","https://www.somogyi.hu/product/home-usbc-1-toltokabel-usb-a-usb-c-1m-2-1a-adatkabel-usbc-1-15819")</f>
        <v>0.0</v>
      </c>
      <c r="E2015" s="7" t="n">
        <f>HYPERLINK("https://www.somogyi.hu/data/img/product_main_images/small/15819.jpg","https://www.somogyi.hu/data/img/product_main_images/small/15819.jpg")</f>
        <v>0.0</v>
      </c>
      <c r="F2015" s="2" t="inlineStr">
        <is>
          <t>5999084938536</t>
        </is>
      </c>
      <c r="G2015" s="4" t="inlineStr">
        <is>
          <t>Egy töltőkábelt keres, ami nem csak megbízható, hanem rugalmas és kényelmes használatot is ígér? A Home USBC 1 töltőkábel pontosan ezt kínálja, tökéletes választás mindenkinek, aki a mindennapi töltési igényeit szeretné egyszerűen és hatékonyan kielégíteni.
Ez a kábel kiemelkedik hajlékonyságával és könnyű használatával, így akár utazáshoz, irodába vagy otthoni használatra is ideális. Nem csak töltőként funkcionál, hanem adatkábelként is használható, ami lehetővé teszi az adatátvitelt és szinkronizálást a készülékek között anélkül, hogy több kábelt kellene magával vinnie. A kábel hossza, körülbelül 1 méter, elegendő távolságot biztosít a kényelmes csatlakoztatáshoz, miközben elég kompakt ahhoz, hogy könnyen tárolható és hordozható legyen.
Az USB 2.0 szabvány támogatásával a Home USBC 1 töltőkábel akár 5V / 2,1A maximális töltési sebességet is képes biztosítani, így eszközei gyorsan és hatékonyan lesznek feltöltve. Legyen szó telefonról, táblagépről vagy egyéb USB-C-s eszközről, ez a kábel gondoskodik róla, hogy mindig a maximumot hozza ki a töltési folyamatból.
Váltson a Home USBC 1 töltőkábelre, és tapasztalja meg a kényelmes, gyors és megbízható töltési élményt, amit ez a modern és hajlékony kábel kínál.</t>
        </is>
      </c>
    </row>
    <row r="2016">
      <c r="A2016" s="3" t="inlineStr">
        <is>
          <t>USBAL1</t>
        </is>
      </c>
      <c r="B2016" s="2" t="inlineStr">
        <is>
          <t>Home USBAL1 töltőkábel, USB A / Lightning, 2.1A, 1m, szövött, fehér</t>
        </is>
      </c>
      <c r="C2016" s="1" t="n">
        <v>1090.0</v>
      </c>
      <c r="D2016" s="7" t="n">
        <f>HYPERLINK("https://www.somogyi.hu/product/home-usbal1-toltokabel-usb-a-lightning-2-1a-1m-szovott-feher-usbal1-18711","https://www.somogyi.hu/product/home-usbal1-toltokabel-usb-a-lightning-2-1a-1m-szovott-feher-usbal1-18711")</f>
        <v>0.0</v>
      </c>
      <c r="E2016" s="7" t="n">
        <f>HYPERLINK("https://www.somogyi.hu/data/img/product_main_images/small/18711.jpg","https://www.somogyi.hu/data/img/product_main_images/small/18711.jpg")</f>
        <v>0.0</v>
      </c>
      <c r="F2016" s="2" t="inlineStr">
        <is>
          <t>5999084967291</t>
        </is>
      </c>
      <c r="G2016" s="4" t="inlineStr">
        <is>
          <t>Gondolt már arra, hogy egyetlen kábel megoldhatná összes töltési és adatátviteli igényét? A Home USBAL1 töltőkábel az ideális választás mindazok számára, akik megbízható és tartós megoldást keresnek mindennapi eszközeik töltéséhez és adatátviteléhez. 
Ez a kábel USB-A és Lightning dugókkal van ellátva, ami lehetővé teszi a széleskörű kompatibilitást különböző Apple eszközökkel. Az ellenálló, szövött nejlon burkolat biztosítja a hosszú élettartamot és a kábel fokozott kopásállóságát, így bírja a mindennapi igénybevételt.
A Home USBAL1 töltőkábel nemcsak töltésre kiváló, hanem adatkábelként is funkcionál, lehetővé téve a gyors és biztonságos adatátvitelt. A kábel hossza kb. 1 méter, és USB 2.0 kompatibilitással rendelkezik, amely 480 Mbps maximális adatátviteli sebességet és 5V/2.1A maximális áramerősséget biztosít. Ez garantálja a gyors töltést és az adatok zökkenőmentes átvitelét.
Ne habozzon tovább, válassza a Home USBAL1 töltőkábelt, és élvezze a megbízható és gyors töltést, valamint adatátvitelt minden nap! Rendelje meg most, és tapasztalja meg a különbséget!</t>
        </is>
      </c>
    </row>
    <row r="2017">
      <c r="A2017" s="3" t="inlineStr">
        <is>
          <t>USBCC1</t>
        </is>
      </c>
      <c r="B2017" s="2" t="inlineStr">
        <is>
          <t>Home USBCC1 töltőkábel, USB-C / USB-C, 2.1A, 1m,szövött, kék</t>
        </is>
      </c>
      <c r="C2017" s="1" t="n">
        <v>1350.0</v>
      </c>
      <c r="D2017" s="7" t="n">
        <f>HYPERLINK("https://www.somogyi.hu/product/home-usbcc1-toltokabel-usb-c-usb-c-2-1a-1m-szovott-kek-usbcc1-18710","https://www.somogyi.hu/product/home-usbcc1-toltokabel-usb-c-usb-c-2-1a-1m-szovott-kek-usbcc1-18710")</f>
        <v>0.0</v>
      </c>
      <c r="E2017" s="7" t="n">
        <f>HYPERLINK("https://www.somogyi.hu/data/img/product_main_images/small/18710.jpg","https://www.somogyi.hu/data/img/product_main_images/small/18710.jpg")</f>
        <v>0.0</v>
      </c>
      <c r="F2017" s="2" t="inlineStr">
        <is>
          <t>5999084967284</t>
        </is>
      </c>
      <c r="G2017" s="4" t="inlineStr">
        <is>
          <t>Szüksége van egy megbízható és tartós töltőkábelre, amely szinte minden eszközéhez megfelelő? Ismerje meg a Home USBCC1 töltőkábelt, amely USB-C / USB-C dugókkal van felszerelve, így kiválóan alkalmas modern eszközök töltésére és adatátvitelére. 
Az ellenálló, szövött nejlon burkolat hosszú élettartamot és kopásállóságot biztosít, így a kábel minden nap helytáll.
Ez a kábel nemcsak töltésre alkalmas, hanem adatkábelként is működik, amely gyors és biztonságos adatátvitelt tesz lehetővé. A hossza körülbelül 1 méter, USB 2.0 kompatibilitással rendelkezik, amely akár 480 Mbps maximális adatátviteli sebességet és 5V/2.1A maximális áramerősséget biztosít. Ez garantálja a gyors töltést és az adatok zökkenőmentes átvitelét.
Ne hagyja ki ezt a lehetőséget, hogy egy olyan kábelt szerezzen be, amely minden igényét kielégíti! Rendelje meg most a Home USBCC1 töltőkábelt, és élvezze a kiváló teljesítményt és megbízhatóságot minden nap!</t>
        </is>
      </c>
    </row>
    <row r="2018">
      <c r="A2018" s="3" t="inlineStr">
        <is>
          <t>USBCA3</t>
        </is>
      </c>
      <c r="B2018" s="2" t="inlineStr">
        <is>
          <t>Home USBCA3 usb-c átalakító, USB3.0, 3.0 A, 60 W, USB-C dugó, USB-A aljzat, gyorstöltés, adattovábbítás</t>
        </is>
      </c>
      <c r="C2018" s="1" t="n">
        <v>1750.0</v>
      </c>
      <c r="D2018" s="7" t="n">
        <f>HYPERLINK("https://www.somogyi.hu/product/home-usbca3-usb-c-atalakito-usb3-0-3-0-a-60-w-usb-c-dugo-usb-a-aljzat-gyorstoltes-adattovabbitas-usbca3-18399","https://www.somogyi.hu/product/home-usbca3-usb-c-atalakito-usb3-0-3-0-a-60-w-usb-c-dugo-usb-a-aljzat-gyorstoltes-adattovabbitas-usbca3-18399")</f>
        <v>0.0</v>
      </c>
      <c r="E2018" s="7" t="n">
        <f>HYPERLINK("https://www.somogyi.hu/data/img/product_main_images/small/18399.jpg","https://www.somogyi.hu/data/img/product_main_images/small/18399.jpg")</f>
        <v>0.0</v>
      </c>
      <c r="F2018" s="2" t="inlineStr">
        <is>
          <t>5999084964177</t>
        </is>
      </c>
      <c r="G2018" s="4" t="inlineStr">
        <is>
          <t>Egy egyszerű megoldást keres, hogy régi USB készülékei új USB-C porttal rendelkező eszközével is kompatibilisek legyenek? A Home USBCA3 USB-C átalakító az Ön számára készült. Ez az átalakító lehetővé teszi, hogy USB-A csatlakozós eszközeit, mint például pendrive-okat, külső merevlemezeket vagy töltőkábeleket, USB-C porttal rendelkező laptopokhoz, tabletekhez vagy okostelefonokhoz csatlakoztassa.
Az átalakító támogatja a gyorstöltést és az adatátvitelt is, akár 5Gbps sebességgel, így nem kell kompromisszumot kötnie a teljesítmény terén. A 3.0A kimeneti áramerősség és a 60W teljesítményű töltés biztosítja, hogy eszközei gyorsan és hatékonyan töltődjenek. Az USB3.0 szabvány támogatása révén az adatátvitel gyors és zökkenőmentes, legyen szó nagy méretű fájlok átviteléről vagy akár a napi szinkronizálási feladatokról.
Az USB-C / USB-A átalakítóval nem csak a kompatibilitási problémákat oldhatja meg, hanem a gyorstöltés és az adatátvitel előnyeit is kihasználhatja anélkül, hogy új kábeleket kellene vásárolnia. Ideális társ mindennapi digitális életéhez: csatlakoztassa egymással régi és új eszközeit zökkenőmentesen a Home USBCA3 USB-C átalakítóval.</t>
        </is>
      </c>
    </row>
    <row r="2019">
      <c r="A2019" s="3" t="inlineStr">
        <is>
          <t>USBF C2</t>
        </is>
      </c>
      <c r="B2019" s="2" t="inlineStr">
        <is>
          <t>Home USBF C2 töltőkábel, USB-A/USB-C, fordítható USB-A, 2m, 2,1A, adatkábel</t>
        </is>
      </c>
      <c r="C2019" s="1" t="n">
        <v>2390.0</v>
      </c>
      <c r="D2019" s="7" t="n">
        <f>HYPERLINK("https://www.somogyi.hu/product/home-usbf-c2-toltokabel-usb-a-usb-c-fordithato-usb-a-2m-2-1a-adatkabel-usbf-c2-17081","https://www.somogyi.hu/product/home-usbf-c2-toltokabel-usb-a-usb-c-fordithato-usb-a-2m-2-1a-adatkabel-usbf-c2-17081")</f>
        <v>0.0</v>
      </c>
      <c r="E2019" s="7" t="n">
        <f>HYPERLINK("https://www.somogyi.hu/data/img/product_main_images/small/17081.jpg","https://www.somogyi.hu/data/img/product_main_images/small/17081.jpg")</f>
        <v>0.0</v>
      </c>
      <c r="F2019" s="2" t="inlineStr">
        <is>
          <t>5999084951139</t>
        </is>
      </c>
      <c r="G2019" s="4" t="inlineStr">
        <is>
          <t>Hogyan lehet kényelmesen és gyorsan tölteni vagy adatot továbbítani anélkül, hogy a kábelek állandóan összegabalyodnának? 
A Home USBF C2 töltőkábel egy innovatív megoldás, amely nemcsak a hatékony töltést, hanem a kényelmes adatátvitelt is biztosítja. A különlegessége abban rejlik, hogy mindkét végén – USB-A és USB-C – fordítható csatlakozóval rendelkezik, így bármelyik irányban könnyedén csatlakoztatható az eszközökhöz, ami különösen hasznos sötétben vagy autóban történő használat során.
Fordítható csatlakozók és kényelmes használat
A Home USBF C2 kábel USB-A és USB-C csatlakozója mindkét irányban használható, így megszűnnek a rosszul illesztett csatlakozásokból adódó kellemetlenségek. Az USB 2.0 szabvány támogatásával akár 2,1 A áramerősségű töltést is biztosít, miközben a fájlok átvitelét akár 5 V feszültség mellett is gyorsan elvégezheti.
Strapabíró és gabalyodásmentes kialakítás
A töltőkábel hajlékony, lapos vezetékből készült, amely ellenáll a mindennapi használat során fellépő fizikai igénybevételnek, így hosszú távon is megbízható marad. A lapos kialakítás előnye, hogy a kábel kevésbé hajlamos az összegabalyodásra, ami jelentősen megkönnyíti a tárolást és a használatot. Az ~2 méter hosszúságú vezeték ideális választás, ha távolabbi aljzatból kell tölteni vagy adatot továbbítani.
Prémium minőség és sokoldalúság
A prémium minőségű anyaghasználat garantálja a kábel tartósságát és megbízhatóságát. Akár otthoni, akár irodai használatra, vagy éppen utazáshoz keres ideális töltőkábelt, a Home USBF C2 remek választás lehet, hiszen bármilyen USB-A vagy USB-C csatlakozóval rendelkező eszközhöz használható.
Miért érdemes a Home USBF C2 töltőkábelt választani?
- Mindkét végén fordítható csatlakozóval rendelkezik, így gyorsan és egyszerűen csatlakoztatható
- Hajlékony, strapabíró lapos vezetékkel készült, amely kevésbé hajlamos az összegabalyodásra
- Akár 2,1 A áramerősségű töltést is biztosít, így gyorsan feltöltheti eszközeit
- Kiváló adatátviteli sebességet nyújt az USB 2.0 szabványnak megfelelően
- ~2 méter hosszú vezeték, amely kényelmes használatot biztosít nagyobb távolságból is
Ne hagyja, hogy a hagyományos kábelek korlátozzák a kényelmét! Válassza a Home USBF C2 töltőkábelt, és élvezze a gyors, kényelmes csatlakoztatást, akár sötétben is!</t>
        </is>
      </c>
    </row>
    <row r="2020">
      <c r="A2020" s="3" t="inlineStr">
        <is>
          <t>USBAC1</t>
        </is>
      </c>
      <c r="B2020" s="2" t="inlineStr">
        <is>
          <t>Home USBAC1 töltőkábel, USB-A / USB-C, 2.1A, 1m, szövött, fekete</t>
        </is>
      </c>
      <c r="C2020" s="1" t="n">
        <v>909.0</v>
      </c>
      <c r="D2020" s="7" t="n">
        <f>HYPERLINK("https://www.somogyi.hu/product/home-usbac1-toltokabel-usb-a-usb-c-2-1a-1m-szovott-fekete-usbac1-18709","https://www.somogyi.hu/product/home-usbac1-toltokabel-usb-a-usb-c-2-1a-1m-szovott-fekete-usbac1-18709")</f>
        <v>0.0</v>
      </c>
      <c r="E2020" s="7" t="n">
        <f>HYPERLINK("https://www.somogyi.hu/data/img/product_main_images/small/18709.jpg","https://www.somogyi.hu/data/img/product_main_images/small/18709.jpg")</f>
        <v>0.0</v>
      </c>
      <c r="F2020" s="2" t="inlineStr">
        <is>
          <t>5999084967277</t>
        </is>
      </c>
      <c r="G2020" s="4" t="inlineStr">
        <is>
          <t>Elege van abból, hogy a töltőkábelei nem bírják a mindennapi igénybevételt? A Home USBAC1 töltőkábel az ideális megoldás mindennapi töltési és adatátviteli igényeihez. 
Ez a kábel USB-A és USB-C dugókkal van ellátva, így széles körű kompatibilitást biztosít a különböző eszközökkel. Az ellenálló, szövött nejlon burkolat garantálja a hosszú élettartamot és a kopásállóságot, még intenzív használat mellett is.
Nem csupán töltésre szolgál, hanem adatkábelként is kiválóan működik, lehetővé téve a gyors és biztonságos adatátvitelt. A kábel hossza kb. 1 méter, és USB 2.0 kompatibilitással rendelkezik, ami akár 480 Mbps maximális adatátviteli sebességet és 5V/2.1A maximális áramerősséget biztosít. Ezzel garantálja a gyors töltést és az adatok zökkenőmentes átvitelét.
Ne habozzon, válassza a Home USBAC1 töltőkábelt, és élvezze a megbízható és gyors töltést, valamint adatátvitelt minden nap! Rendelje meg most, és tapasztalja meg a különbséget!</t>
        </is>
      </c>
    </row>
    <row r="2021">
      <c r="A2021" s="3" t="inlineStr">
        <is>
          <t>USBF 2</t>
        </is>
      </c>
      <c r="B2021" s="2" t="inlineStr">
        <is>
          <t>Home USBF 2 töltőkábel, 2 oldalú, fordítható, USB-A dugó, microUSB-B dugó, 2m, 2,1A, adatkábel</t>
        </is>
      </c>
      <c r="C2021" s="1" t="n">
        <v>1750.0</v>
      </c>
      <c r="D2021" s="7" t="n">
        <f>HYPERLINK("https://www.somogyi.hu/product/home-usbf-2-toltokabel-2-oldalu-fordithato-usb-a-dugo-microusb-b-dugo-2m-2-1a-adatkabel-usbf-2-17082","https://www.somogyi.hu/product/home-usbf-2-toltokabel-2-oldalu-fordithato-usb-a-dugo-microusb-b-dugo-2m-2-1a-adatkabel-usbf-2-17082")</f>
        <v>0.0</v>
      </c>
      <c r="E2021" s="7" t="n">
        <f>HYPERLINK("https://www.somogyi.hu/data/img/product_main_images/small/17082.jpg","https://www.somogyi.hu/data/img/product_main_images/small/17082.jpg")</f>
        <v>0.0</v>
      </c>
      <c r="F2021" s="2" t="inlineStr">
        <is>
          <t>5999084951146</t>
        </is>
      </c>
      <c r="G2021" s="4" t="inlineStr">
        <is>
          <t>Unja már, hogy mindig igazgatni kell az USB csatlakozót, hogy helyesen illeszkedjen? A Home USBF 2 töltőkábel megoldja ezt a problémát a 2 oldalú, fordítható csatlakozóival, amelyek mindkét irányban könnyedén csatlakoztathatók, legyen szó USB-A vagy microUSB-B dugóról. 
Ez a praktikus kialakítás különösen hasznos sötétben vagy autóban, amikor nincs ideje azzal bajlódni, hogy helyesen illessze be a csatlakozót. A kábel 2 méteres hossza bőven elegendő mozgásteret biztosít, legyen szó töltésről vagy adatátvitelről. A strapabíró, gabalyodásmentes lapos vezeték kialakítása biztosítja, hogy a kábel hosszú ideig megbízhatóan használható legyen, anélkül, hogy összegubancolódna. Továbbá a USB 2.0 szabvány révén akár 5 V / 2,1 A töltési teljesítményt is képes biztosítani, így gyorsan és hatékonyan tölti fel készülékeit. Ez a prémium minőségű kábel adatkábelként is funkcionál, így nem csak töltésre, hanem adatok átvitelére is használható, ha éppen szükség van rá. Ideális választás mindennapi használatra, legyen az otthoni vagy munkahelyi környezetben.
Ne hagyja, hogy a csatlakozási nehézségek megnehezítsék a mindennapjait! Rendelje meg a Home USBF 2 töltőkábelt, és élvezze a könnyed csatlakoztatás, gyors töltés és adatátvitel előnyeit!</t>
        </is>
      </c>
    </row>
    <row r="2022">
      <c r="A2022" s="3" t="inlineStr">
        <is>
          <t>USBC OTG</t>
        </is>
      </c>
      <c r="B2022" s="2" t="inlineStr">
        <is>
          <t>Home USBC OTG kábel, USB-C dugó, USB-A aljzat, kétirányú, 16cm, 2,1A, 480 Mbps</t>
        </is>
      </c>
      <c r="C2022" s="1" t="n">
        <v>1590.0</v>
      </c>
      <c r="D2022" s="7" t="n">
        <f>HYPERLINK("https://www.somogyi.hu/product/home-usbc-otg-kabel-usb-c-dugo-usb-a-aljzat-ketiranyu-16cm-2-1a-480-mbps-usbc-otg-18180","https://www.somogyi.hu/product/home-usbc-otg-kabel-usb-c-dugo-usb-a-aljzat-ketiranyu-16cm-2-1a-480-mbps-usbc-otg-18180")</f>
        <v>0.0</v>
      </c>
      <c r="E2022" s="7" t="n">
        <f>HYPERLINK("https://www.somogyi.hu/data/img/product_main_images/small/18180.jpg","https://www.somogyi.hu/data/img/product_main_images/small/18180.jpg")</f>
        <v>0.0</v>
      </c>
      <c r="F2022" s="2" t="inlineStr">
        <is>
          <t>5999084962029</t>
        </is>
      </c>
      <c r="G2022" s="4" t="inlineStr">
        <is>
          <t>Kíváncsi, hogyan játszhatja le kedvenc filmjeit vagy zenéit közvetlenül mobilkészülékén? Esetleg külső perifériákat, mint például billentyűzetet csatlakoztatna táblagépéhez? A Home USBC OTG kábel a megoldás azok számára, akik szeretnék maximálisan kihasználni mobilkészülékük adta lehetőségeket. Ez a kétirányú adatkábel lehetővé teszi fájlok, videók és zenék számítógép használata nélküli másolását és lejátszását közvetlenül USB tárolóról.
USB A aljzat és USB-C dugó kialakításának köszönhetően ez a kábel rendkívül sokoldalú, és számos mobilkészülékkel kompatibilis, az alkalmazhatósága csak a készülék specifikációitól függ. Az USB2.0 szabvány biztosítja a gyors adatátvitelt, akár 480 Mbps sebességgel.
Legyen szó fájlok átviteléről, videók megtekintéséről vagy zenék hallgatásáról közvetlenül USB meghajtóról, a Home USBC OTG kábel egyszerűséget és kényelmet nyújt mobil eszközök használata során. Fedezze fel a mobilkészüléke valódi potenciálját a Home USBC OTG kábellel, és élvezze a multimédia új dimenzióit bárhol, bármikor.</t>
        </is>
      </c>
    </row>
    <row r="2023">
      <c r="A2023" s="3" t="inlineStr">
        <is>
          <t>USBHUB6</t>
        </is>
      </c>
      <c r="B2023" s="2" t="inlineStr">
        <is>
          <t>Home USBHUB6 dokkoló állomás, 4K HDMI, egér, billentyűzet, TF/microSD, SD, USB tároló, merevlemez, ~100 W PD, plug &amp; play, LED visszajelzés</t>
        </is>
      </c>
      <c r="C2023" s="1" t="n">
        <v>10690.0</v>
      </c>
      <c r="D2023" s="7" t="n">
        <f>HYPERLINK("https://www.somogyi.hu/product/home-usbhub6-dokkolo-allomas-4k-hdmi-eger-billentyuzet-tf-microsd-sd-usb-tarolo-merevlemez-100-w-pd-plug-play-led-visszajelzes-usbhub6-18400","https://www.somogyi.hu/product/home-usbhub6-dokkolo-allomas-4k-hdmi-eger-billentyuzet-tf-microsd-sd-usb-tarolo-merevlemez-100-w-pd-plug-play-led-visszajelzes-usbhub6-18400")</f>
        <v>0.0</v>
      </c>
      <c r="E2023" s="7" t="n">
        <f>HYPERLINK("https://www.somogyi.hu/data/img/product_main_images/small/18400.jpg","https://www.somogyi.hu/data/img/product_main_images/small/18400.jpg")</f>
        <v>0.0</v>
      </c>
      <c r="F2023" s="2" t="inlineStr">
        <is>
          <t>5999084964184</t>
        </is>
      </c>
      <c r="G2023" s="4" t="inlineStr">
        <is>
          <t>Ön is gyakran szembesül azzal a problémával, hogy túl kevés a csatlakozó a laptopján vagy táblagépén? A Home USBHUB6 dokkoló állomás segítségével könnyedén bővítheti eszköze csatlakoztathatóságát.
Ez a Type-C multiport HUB lehetővé teszi, hogy egyetlen csatlakozón keresztül számos perifériát, mint például 4K HDMI kijelzőt, egér és billentyűzetet, nyomtatót, TF/microSD és SD kártyaolvasót, USB tárolót, merevlemezt, valamint akár egy 100W-os PD töltőt is csatlakoztasson.
Kompatibilitása MAC OS, Windows és Linux rendszerekkel „plug &amp; play” módon, driver telepítése nélkül, rendkívül egyszerűvé teszi a használatot. Az exkluzív kialakítású burkolat, a betekintő ablakkal és LED visszajelzőkkel ellátott dokkoló, nem csupán praktikus, de stílusos kiegészítője is munkaállomásának.
Akár otthon, akár irodában dolgozik, a Home USBHUB6 dokkoló állomás minden igényt kielégítő megoldást nyújt a perifériák csatlakoztatására. Bővítse ki notebookját, táblagépét vagy mobiltelefonját ezzel a sokoldalú eszközzel, és élvezze a munka során a kényelmet és a hatékonyságot.</t>
        </is>
      </c>
    </row>
    <row r="2024">
      <c r="A2024" s="3" t="inlineStr">
        <is>
          <t>USBHUB7</t>
        </is>
      </c>
      <c r="B2024" s="2" t="inlineStr">
        <is>
          <t>Home USBHUB7 dokkoló állomás, Gigabit RJ45, 4K HDMI HDR,  egér, billentyűzet, TF/microSD, SD, 2 TB USB tároló, merevlemez, ~100 W PD, plug &amp; play</t>
        </is>
      </c>
      <c r="C2024" s="1" t="n">
        <v>26690.0</v>
      </c>
      <c r="D2024" s="7" t="n">
        <f>HYPERLINK("https://www.somogyi.hu/product/home-usbhub7-dokkolo-allomas-gigabit-rj45-4k-hdmi-hdr-eger-billentyuzet-tf-microsd-sd-2-tb-usb-tarolo-merevlemez-100-w-pd-plug-play-usbhub7-18401","https://www.somogyi.hu/product/home-usbhub7-dokkolo-allomas-gigabit-rj45-4k-hdmi-hdr-eger-billentyuzet-tf-microsd-sd-2-tb-usb-tarolo-merevlemez-100-w-pd-plug-play-usbhub7-18401")</f>
        <v>0.0</v>
      </c>
      <c r="E2024" s="7" t="n">
        <f>HYPERLINK("https://www.somogyi.hu/data/img/product_main_images/small/18401.jpg","https://www.somogyi.hu/data/img/product_main_images/small/18401.jpg")</f>
        <v>0.0</v>
      </c>
      <c r="F2024" s="2" t="inlineStr">
        <is>
          <t>5999084964191</t>
        </is>
      </c>
      <c r="G2024" s="4" t="inlineStr">
        <is>
          <t>Ön is gyakran szembesül azzal a problémával, hogy túl kevés a csatlakozó a laptopján vagy táblagépén? A Home USBHUB7 dokkoló állomás segítségével könnyedén bővítheti eszköze csatlakoztathatóságát.
Ez a Type-C multiport HUB lehetővé teszi, hogy egyetlen csatlakozón keresztül számos perifériát, mint például 4K HDMI HDR kijelzőt, egér és billentyűzetet, nyomtatót, TF/microSD és SD kártyaolvasót, 2 TB USB tárolót, merevlemezt, valamint akár egy 100W-os PD töltőt is csatlakoztasson. Az eszköz ezen felül tartalmaz egy Gigabit RJ45 LAN vezetékes internet adaptert is.
Kompatibilitása MAC OS, Windows és Linux rendszerekkel „plug &amp; play” módon, driver telepítése nélkül, rendkívül egyszerűvé teszi a használatot. Az exkluzív kialakítású, prémium alumínium burkolattal ellátott dokkoló, nem csupán praktikus, de stílusos kiegészítője is munkaállomásának.
Akár otthon, akár irodában dolgozik, a Home USBHUB7 dokkoló állomás minden igényt kielégítő megoldást nyújt a perifériák csatlakoztatására. Bővítse ki notebookját, táblagépét vagy mobiltelefonját ezzel a sokoldalú eszközzel, és élvezze a munka során a kényelmet és a hatékonyságot.</t>
        </is>
      </c>
    </row>
    <row r="2025">
      <c r="A2025" s="3" t="inlineStr">
        <is>
          <t>USBC A1</t>
        </is>
      </c>
      <c r="B2025" s="2" t="inlineStr">
        <is>
          <t>Home USBC A1 átalakító, USB-C dugó, microUSB aljzat, 2,1 A, 240 Mbps</t>
        </is>
      </c>
      <c r="C2025" s="1" t="n">
        <v>1390.0</v>
      </c>
      <c r="D2025" s="7" t="n">
        <f>HYPERLINK("https://www.somogyi.hu/product/home-usbc-a1-atalakito-usb-c-dugo-microusb-aljzat-2-1-a-240-mbps-usbc-a1-15820","https://www.somogyi.hu/product/home-usbc-a1-atalakito-usb-c-dugo-microusb-aljzat-2-1-a-240-mbps-usbc-a1-15820")</f>
        <v>0.0</v>
      </c>
      <c r="E2025" s="7" t="n">
        <f>HYPERLINK("https://www.somogyi.hu/data/img/product_main_images/small/15820.jpg","https://www.somogyi.hu/data/img/product_main_images/small/15820.jpg")</f>
        <v>0.0</v>
      </c>
      <c r="F2025" s="2" t="inlineStr">
        <is>
          <t>5999084938543</t>
        </is>
      </c>
      <c r="G2025" s="4" t="inlineStr">
        <is>
          <t>Van régi microUSB töltője, amit szeretne új USB-C-s eszközével használni? A Home USBC A1 átalakítóval most könnyedén megoldhatja ezt a problémát, így nem kell új kábeleket vásárolnia minden egyes eszközhöz.
Ez az átalakító egy USB-C dugóval és egy microUSB aljzattal rendelkezik, így lehetővé teszi, hogy régi microUSB töltőkábelét használja az új generációs USB-C-s eszközök töltésére és adatátvitelére. A kis eszköz általában adatkábelként is funkcionál, ami azt jelenti, hogy nem csak töltésre, hanem adatok átvitelére is tökéletesen alkalmas, legyen szó fotókról, videókról, vagy akár dokumentumokról.
Az USB 2.0 szabvány támogatásával a Home USBC A1 átalakító akár 240 Mbps adatátviteli sebességet és 5V / 2,1A töltési kapacitást is kínál, így gyors és hatékony töltést biztosít eszközeinek. A kis méret és a könnyű használat miatt ez az átalakító ideális társ utazáskor, munkában vagy akár otthoni használatra is.
Ne hagyja, hogy a különböző töltők és kábelek megnehezítsék életét. A Home USBC A1 átalakítóval régi és új eszközeit is zökkenőmentesen, egyszerűen használhatja.</t>
        </is>
      </c>
    </row>
    <row r="2026">
      <c r="A2026" s="3" t="inlineStr">
        <is>
          <t>SA 044</t>
        </is>
      </c>
      <c r="B2026" s="2" t="inlineStr">
        <is>
          <t>Home SA 044 microUSB OTG kábel, USB-A aljzat, microUSB-B dugó, 2,1A, 16cm, 480 Mbps</t>
        </is>
      </c>
      <c r="C2026" s="1" t="n">
        <v>1090.0</v>
      </c>
      <c r="D2026" s="7" t="n">
        <f>HYPERLINK("https://www.somogyi.hu/product/home-sa-044-microusb-otg-kabel-usb-a-aljzat-microusb-b-dugo-2-1a-16cm-480-mbps-sa-044-13662","https://www.somogyi.hu/product/home-sa-044-microusb-otg-kabel-usb-a-aljzat-microusb-b-dugo-2-1a-16cm-480-mbps-sa-044-13662")</f>
        <v>0.0</v>
      </c>
      <c r="E2026" s="7" t="n">
        <f>HYPERLINK("https://www.somogyi.hu/data/img/product_main_images/small/13662.jpg","https://www.somogyi.hu/data/img/product_main_images/small/13662.jpg")</f>
        <v>0.0</v>
      </c>
      <c r="F2026" s="2" t="inlineStr">
        <is>
          <t>5999084917142</t>
        </is>
      </c>
      <c r="G2026" s="4" t="inlineStr">
        <is>
          <t>Megfordítaná a mobilkészülék használatának módját egyetlen egyszerű kiegészítővel? A Home SA 044 microUSB OTG kábel a kulcs ahhoz, hogy mobiltelefonját vagy táblagépét új szintre emelje, lehetővé téve az USB-A eszközök közvetlen csatlakoztatását.
Ez a kétirányú adatkábel nem csak fájlok egyszerű és gyors másolását teszi lehetővé számítógép használata nélkül, hanem videók és zenék lejátszását is USB tárolóeszközökről közvetlenül a mobilkészüléken. Az OTG (On-The-Go) technológia révén a Home SA 044 kábel teljes mértékben kihasználja mobilkészülékének kapacitásait, így minden eddiginél sokoldalúbbá téve azt.
Az USB 2.0 szabvány támogatása biztosítja az 480 Mbps adatátviteli sebességet, míg a 5V / 2,1A kimenet optimális töltést nyújt csatlakoztatott eszközeinek. A kábel hossza, körülbelül 16 cm, ideális egyensúlyt teremt a hordozhatóság és a kényelmes használat között.
Fedezze fel a Home SA 044 microUSB OTG kábel által nyújtott végtelen lehetőségeket, és változtassa meg, hogyan használja mobilkészülékét.</t>
        </is>
      </c>
    </row>
    <row r="2027">
      <c r="A2027" s="3" t="inlineStr">
        <is>
          <t>USB A/MICRO-1</t>
        </is>
      </c>
      <c r="B2027" s="2" t="inlineStr">
        <is>
          <t>Home USB A/MICRO-1 töltőkábel, 1m, 1A, adatkábel</t>
        </is>
      </c>
      <c r="C2027" s="1" t="n">
        <v>1090.0</v>
      </c>
      <c r="D2027" s="7" t="n">
        <f>HYPERLINK("https://www.somogyi.hu/product/home-usb-a-micro-1-toltokabel-1m-1a-adatkabel-usb-a-micro-1-10265","https://www.somogyi.hu/product/home-usb-a-micro-1-toltokabel-1m-1a-adatkabel-usb-a-micro-1-10265")</f>
        <v>0.0</v>
      </c>
      <c r="E2027" s="7" t="n">
        <f>HYPERLINK("https://www.somogyi.hu/data/img/product_main_images/small/10265.jpg","https://www.somogyi.hu/data/img/product_main_images/small/10265.jpg")</f>
        <v>0.0</v>
      </c>
      <c r="F2027" s="2" t="inlineStr">
        <is>
          <t>5998312788745</t>
        </is>
      </c>
      <c r="G2027" s="4" t="inlineStr">
        <is>
          <t>Hogyan tölthetné fel eszközeit gyorsan és egyszerűen, miközben adatokat is átvihet? A Home USB A/MICRO-1 töltőkábel az ideális megoldás azok számára, akik egy kábelben keresik a gyors töltés és az adatátvitel egyszerűségét.
Ez a kétirányú adatkábel nem csak a mobilkészülékek gyors töltését teszi lehetővé, hanem lehetőséget biztosít a fájlok, videók és zenék egyszerű másolására vagy lejátszására USB tárolókról, akár számítógép használata nélkül. Az USB-A aljzat és microUSB-B dugó kombinációja biztosítja a széleskörű kompatibilitást a legtöbb jelenlegi mobilkészülékkel és táblagéppel, így Ön sosem marad töltési lehetőség nélkül, legyen szó utazásról, munkáról vagy otthoni használatról.
A Home USB A/MICRO-1 töltőkábel az USB 2.0 szabványt támogatja, amely akár 480 Mbps adatátviteli sebességet is kínál, így nem csak a töltés gyors, de az adatok átvitele is villámgyors. A 5V / 2,1A kimeneti teljesítmény optimalizálja a töltési folyamatot, míg a kábel hossza, körülbelül 16 cm, tökéletes egyensúlyt kínál a hordozhatóság és a használati kényelem között.
Bővítse ki eszközei lehetőségeit a Home USB A/MICRO-1 töltőkábellel, amely egyszerre kínál töltést és adatátvitelt, anélkül, hogy kompromisszumot kellene kötnie a sebesség vagy a kényelem terén.</t>
        </is>
      </c>
    </row>
    <row r="2028">
      <c r="A2028" s="3" t="inlineStr">
        <is>
          <t>USBF 3</t>
        </is>
      </c>
      <c r="B2028" s="2" t="inlineStr">
        <is>
          <t>Home USBF 3 töltőkábel, 2 oldalú, fordítható, USB-A dugó, microUSB-B dugó, 3m, 2,1A, adatkábel</t>
        </is>
      </c>
      <c r="C2028" s="1" t="n">
        <v>1390.0</v>
      </c>
      <c r="D2028" s="7" t="n">
        <f>HYPERLINK("https://www.somogyi.hu/product/home-usbf-3-toltokabel-2-oldalu-fordithato-usb-a-dugo-microusb-b-dugo-3m-2-1a-adatkabel-usbf-3-15768","https://www.somogyi.hu/product/home-usbf-3-toltokabel-2-oldalu-fordithato-usb-a-dugo-microusb-b-dugo-3m-2-1a-adatkabel-usbf-3-15768")</f>
        <v>0.0</v>
      </c>
      <c r="E2028" s="7" t="n">
        <f>HYPERLINK("https://www.somogyi.hu/data/img/product_main_images/small/15768.jpg","https://www.somogyi.hu/data/img/product_main_images/small/15768.jpg")</f>
        <v>0.0</v>
      </c>
      <c r="F2028" s="2" t="inlineStr">
        <is>
          <t>5999084938024</t>
        </is>
      </c>
      <c r="G2028" s="4" t="inlineStr">
        <is>
          <t>Unja már, hogy sötétben vagy utazás közben bajlódik a töltőkábel csatlakoztatásával? A Home USBF 3 töltőkábel innovatív megoldást kínál: egy olyan kábelt, amelynek mindkét dugója fordítva is csatlakoztatható, így a használatát még a legnehezebb körülmények között is gyerekjátékká teszi.
Ez a töltőkábel nem csupán a kényelmes használatot helyezi előtérbe, hanem a tartósságot és megbízhatóságot is. A hajlékony, strapabíró és gabalyodásmentes lapos vezeték kialakítása garantálja, hogy a kábel hosszú távon is megőrzi formáját és funkcionalitását, akár úton, akár otthon használja. A prémium minőségű, aranyozott érintkezők biztosítják az optimális kapcsolatot és a hosszú élettartamot.
A Home USBF 3 töltőkábel nem csak töltésre alkalmas, hanem adatkábelként is funkcionál, így könnyedén átviheti a fájlokat a készülékek között, miközben az USB 2.0 szabványnak köszönhetően 5V / 2,1A maximális töltési teljesítményt nyújt. A 3 méter hosszúságú kábel extra rugalmasságot biztosít, így nem kell kompromisszumot kötnie a kényelem és a használhatóság között.
Búcsúzzon el a töltéssel és adatátvitellel kapcsolatos nehézségektől a Home USBF 3 töltőkábellel, amely minden igényt kielégítő megoldást nyújt a modern életvitelhez.</t>
        </is>
      </c>
    </row>
    <row r="2029">
      <c r="A2029" s="3" t="inlineStr">
        <is>
          <t>USBCL1</t>
        </is>
      </c>
      <c r="B2029" s="2" t="inlineStr">
        <is>
          <t>Home USBCL1 töltőkábel, USB-C / Lightning, 2.1A, 1m, szövött, piros</t>
        </is>
      </c>
      <c r="C2029" s="1" t="n">
        <v>2190.0</v>
      </c>
      <c r="D2029" s="7" t="n">
        <f>HYPERLINK("https://www.somogyi.hu/product/home-usbcl1-toltokabel-usb-c-lightning-2-1a-1m-szovott-piros-usbcl1-18712","https://www.somogyi.hu/product/home-usbcl1-toltokabel-usb-c-lightning-2-1a-1m-szovott-piros-usbcl1-18712")</f>
        <v>0.0</v>
      </c>
      <c r="E2029" s="7" t="n">
        <f>HYPERLINK("https://www.somogyi.hu/data/img/product_main_images/small/18712.jpg","https://www.somogyi.hu/data/img/product_main_images/small/18712.jpg")</f>
        <v>0.0</v>
      </c>
      <c r="F2029" s="2" t="inlineStr">
        <is>
          <t>5999084967307</t>
        </is>
      </c>
      <c r="G2029" s="4" t="inlineStr">
        <is>
          <t>Gondolta volna, hogy egy egyszerű töltőkábel is lehet olyan tartós és sokoldalú, hogy minden nap megkönnyíti az életét? A Home USBCL1 USB töltőkábel kiváló választás mindazok számára, akik megbízható és gyors töltést szeretnének elérni készülékeikkel. 
Ez a kábel USB-C valamint Lightning csatlakozókkal van felszerelve, így sokféle eszközzel kompatibilis. Az ellenálló, szövött nejlon burkolat garantálja a hosszú élettartamot és a kábel kopásállóságát, akár napi használat mellett is.
Nem csak töltésre használható, hiszen adatkábelként is működik, így adatátvitel során is megbízható teljesítményt nyújt. A kábel hossza kb. 1 méter, USB 2.0 kompatibilis, 480 Mbps maximális adatátviteli sebességgel és 5V/2.1A maximális áramerősséggel biztosítja a gyors és hatékony töltést.
Ne várjon tovább, válassza a Home USBCL1 USB töltőkábelt, és élvezze a kiváló minőségű, gyors töltést és adatátvitelt minden nap! Rendelje meg most, és tapasztalja meg a különbséget!</t>
        </is>
      </c>
    </row>
    <row r="2030">
      <c r="A2030" s="6" t="inlineStr">
        <is>
          <t xml:space="preserve">   Mobiltartozék, adapter / Adapter</t>
        </is>
      </c>
      <c r="B2030" s="6" t="inlineStr">
        <is>
          <t/>
        </is>
      </c>
      <c r="C2030" s="6" t="inlineStr">
        <is>
          <t/>
        </is>
      </c>
      <c r="D2030" s="6" t="inlineStr">
        <is>
          <t/>
        </is>
      </c>
      <c r="E2030" s="6" t="inlineStr">
        <is>
          <t/>
        </is>
      </c>
      <c r="F2030" s="6" t="inlineStr">
        <is>
          <t/>
        </is>
      </c>
      <c r="G2030" s="6" t="inlineStr">
        <is>
          <t/>
        </is>
      </c>
    </row>
    <row r="2031">
      <c r="A2031" s="3" t="inlineStr">
        <is>
          <t>MW MD25</t>
        </is>
      </c>
      <c r="B2031" s="2" t="inlineStr">
        <is>
          <t>Home MW MD25 hálózati adapter, 2250 mA áramfelvételig, 3-12 V DC, LED visszajelző, polaritás-állítás, 6 db-os csatlakozókészlet</t>
        </is>
      </c>
      <c r="C2031" s="1" t="n">
        <v>10190.0</v>
      </c>
      <c r="D2031" s="7" t="n">
        <f>HYPERLINK("https://www.somogyi.hu/product/home-mw-md25-halozati-adapter-2250-ma-aramfelvetelig-3-12-v-dc-led-visszajelzo-polaritas-allitas-6-db-os-csatlakozokeszlet-mw-md25-16782","https://www.somogyi.hu/product/home-mw-md25-halozati-adapter-2250-ma-aramfelvetelig-3-12-v-dc-led-visszajelzo-polaritas-allitas-6-db-os-csatlakozokeszlet-mw-md25-16782")</f>
        <v>0.0</v>
      </c>
      <c r="E2031" s="7" t="n">
        <f>HYPERLINK("https://www.somogyi.hu/data/img/product_main_images/small/16782.jpg","https://www.somogyi.hu/data/img/product_main_images/small/16782.jpg")</f>
        <v>0.0</v>
      </c>
      <c r="F2031" s="2" t="inlineStr">
        <is>
          <t>5999084948146</t>
        </is>
      </c>
      <c r="G2031" s="4" t="inlineStr">
        <is>
          <t>Az MW MD 25 Hálózati adapter 3-12 V DC, 2250 mA áram leadására alkalmas. Feszültsége szabályozható 3 / 4,5 / 5 / 6 / 7,5 / 9 / 12 V között. Működését LED jelző fény mutatja.
Polaritás-állítási lehetőséggel rendelkezik. Tartozékként szállítjuk a hozzá tartozó 6 db-os csatlakozókészletet. 
EuP kompatibilis.</t>
        </is>
      </c>
    </row>
    <row r="2032">
      <c r="A2032" s="3" t="inlineStr">
        <is>
          <t>MW MC15N</t>
        </is>
      </c>
      <c r="B2032" s="2" t="inlineStr">
        <is>
          <t>Hálózati adapter, 3-12 V DC</t>
        </is>
      </c>
      <c r="C2032" s="1" t="n">
        <v>7690.0</v>
      </c>
      <c r="D2032" s="7" t="n">
        <f>HYPERLINK("https://www.somogyi.hu/product/halozati-adapter-3-12-v-dc-mw-mc15n-18288","https://www.somogyi.hu/product/halozati-adapter-3-12-v-dc-mw-mc15n-18288")</f>
        <v>0.0</v>
      </c>
      <c r="E2032" s="7" t="n">
        <f>HYPERLINK("https://www.somogyi.hu/data/img/product_main_images/small/18288.jpg","https://www.somogyi.hu/data/img/product_main_images/small/18288.jpg")</f>
        <v>0.0</v>
      </c>
      <c r="F2032" s="2" t="inlineStr">
        <is>
          <t>5999084963101</t>
        </is>
      </c>
      <c r="G2032" s="4" t="inlineStr">
        <is>
          <t>Az MW MC15N Hálózati adapter 3-12 V DC, 2100-1500 mA áram leadására alkalmas. Feszültsége szabályozható 3 / 4,5 / 5 / 6 / 7,5 / 9 / 12 V között. Működését LED jelző fény mutatja.
Polaritás-állítási lehetőséggel rendelkezik. Tartozékként szállítjuk a hozzá tartozó 6 db-os csatlakozókészletet.
EuP kompatibilis.</t>
        </is>
      </c>
    </row>
    <row r="2033">
      <c r="A2033" s="3" t="inlineStr">
        <is>
          <t>NA 12P200</t>
        </is>
      </c>
      <c r="B2033" s="2" t="inlineStr">
        <is>
          <t>Home NA 12P200 hálózati adapter, kapcsoló üzemű, 12 V egyenáramú készülékekhez max.2000mAáramfelvételig, 140 cm csatlakozóvezeték</t>
        </is>
      </c>
      <c r="C2033" s="1" t="n">
        <v>4290.0</v>
      </c>
      <c r="D2033" s="7" t="n">
        <f>HYPERLINK("https://www.somogyi.hu/product/home-na-12p200-halozati-adapter-kapcsolo-uzemu-12-v-egyenaramu-keszulekekhez-max-2000maaramfelvetelig-140-cm-csatlakozovezetek-na-12p200-15432","https://www.somogyi.hu/product/home-na-12p200-halozati-adapter-kapcsolo-uzemu-12-v-egyenaramu-keszulekekhez-max-2000maaramfelvetelig-140-cm-csatlakozovezetek-na-12p200-15432")</f>
        <v>0.0</v>
      </c>
      <c r="E2033" s="7" t="n">
        <f>HYPERLINK("https://www.somogyi.hu/data/img/product_main_images/small/15432.jpg","https://www.somogyi.hu/data/img/product_main_images/small/15432.jpg")</f>
        <v>0.0</v>
      </c>
      <c r="F2033" s="2" t="inlineStr">
        <is>
          <t>5999084934668</t>
        </is>
      </c>
      <c r="G2033" s="4" t="inlineStr">
        <is>
          <t>Válassza Ön is kapcsoló üzemű adapterünket! Ideális bármilyen 12 V egyenáramú készülékhez, max. 2000 mA áramfelvételig. Csatlakozóvezetékének hossza 140 cm. Válassza a minőségi termékeket és rendeljen webáruházunkból!</t>
        </is>
      </c>
    </row>
    <row r="2034">
      <c r="A2034" s="3" t="inlineStr">
        <is>
          <t>MW MA06N</t>
        </is>
      </c>
      <c r="B2034" s="2" t="inlineStr">
        <is>
          <t>Home MW MA06N hálózati adapter, 3-12 V DC, 600-1000 mA áramfelvételig, 6db csatlakozó</t>
        </is>
      </c>
      <c r="C2034" s="1" t="n">
        <v>5190.0</v>
      </c>
      <c r="D2034" s="7" t="n">
        <f>HYPERLINK("https://www.somogyi.hu/product/home-mw-ma06n-halozati-adapter-3-12-v-dc-600-1000-ma-aramfelvetelig-6db-csatlakozo-mw-ma06n-18286","https://www.somogyi.hu/product/home-mw-ma06n-halozati-adapter-3-12-v-dc-600-1000-ma-aramfelvetelig-6db-csatlakozo-mw-ma06n-18286")</f>
        <v>0.0</v>
      </c>
      <c r="E2034" s="7" t="n">
        <f>HYPERLINK("https://www.somogyi.hu/data/img/product_main_images/small/18286.jpg","https://www.somogyi.hu/data/img/product_main_images/small/18286.jpg")</f>
        <v>0.0</v>
      </c>
      <c r="F2034" s="2" t="inlineStr">
        <is>
          <t>5999084963088</t>
        </is>
      </c>
      <c r="G2034" s="4" t="inlineStr">
        <is>
          <t>Az MW MA06N Hálózati adapter 3-12 V DC, 1000-600 mA áram leadásra alkalmas. Feszültsége szabályozható 3 / 4,5 / 5 / 6 / 7,5 / 9 / 12 V között. Működését LED jelző fény mutatja.
Polaritás-állítási lehetőséggel rendelkezik. Tartozékként szállítjuk a hozzá tartozó 6 db-os csatlakozókészletet. EuP kompatibilis.</t>
        </is>
      </c>
    </row>
    <row r="2035">
      <c r="A2035" s="3" t="inlineStr">
        <is>
          <t>VTF1000VA</t>
        </is>
      </c>
      <c r="B2035" s="2" t="inlineStr">
        <is>
          <t>HOME VTF1000VA feszültségátalakító, max.1000VA, 230V/110V transzformátor, dupla 110V kimeneti aljzat két készülékhez, hordozható</t>
        </is>
      </c>
      <c r="C2035" s="1" t="n">
        <v>25790.0</v>
      </c>
      <c r="D2035" s="7" t="n">
        <f>HYPERLINK("https://www.somogyi.hu/product/home-vtf1000va-feszultsegatalakito-max-1000va-230v-110v-transzformator-dupla-110v-kimeneti-aljzat-ket-keszulekhez-hordozhato-vtf1000va-19068","https://www.somogyi.hu/product/home-vtf1000va-feszultsegatalakito-max-1000va-230v-110v-transzformator-dupla-110v-kimeneti-aljzat-ket-keszulekhez-hordozhato-vtf1000va-19068")</f>
        <v>0.0</v>
      </c>
      <c r="E2035" s="7" t="n">
        <f>HYPERLINK("https://www.somogyi.hu/data/img/product_main_images/small/19068.jpg","https://www.somogyi.hu/data/img/product_main_images/small/19068.jpg")</f>
        <v>0.0</v>
      </c>
      <c r="F2035" s="2" t="inlineStr">
        <is>
          <t>5999084970611</t>
        </is>
      </c>
      <c r="G2035" s="4" t="inlineStr">
        <is>
          <t>Ön is vásárolt pl. az USA-ban olyan elektronikai eszközt, amit itthon nem tud használni a különböző feszültség miatt? A HOME VTF1000VA feszültségátalakító megoldást nyújt erre a problémára! 
Ezzel a kompakt, mégis masszív kivitelű transzformátorral gond nélkül működtetheti amerikai készülékeit Európában is. A készülék 220-240V-os hálózati feszültséget alakít át 100-120V-osra, így azok a termékek, amelyek az USA-ban megszokott feszültséggel működnek, itthon is biztonságosan és stabilan használhatók. A HOME VTF1000VA tervezése során nagy hangsúlyt fektettek a teljesítményre és a megbízhatóságra. A készülék akár 1000VA/800W teljesítményt is biztosít, ami azt jelenti, hogy két különböző eszközt is képes egyszerre ellátni energiával a dupla 110V „USA” védőérintkezős csatlakozóaljzatokon keresztül. Ez különösen praktikus megoldás azok számára, akik több készüléket szeretnének egyszerre használni – legyen szó háztartási kisgépekről, elektronikai eszközökről vagy más berendezésekről. 
A készülék további praktikus jellemzői közé tartozik a beépített be/ki kapcsoló, amellyel könnyedén szabályozhatja a feszültségátalakító működését, valamint a visszajelző LED, amely az aktuális állapotról nyújt információt. Emellett a toroid transzformátorral felszerelt rendszer egyfázisú, tiszta szinuszos feszültséget állít elő, ami a legtöbb háztartási készülékhez ideális megoldást kínál. A készülék kompakt méreteinek és hordozhatóságának köszönhetően akár utazásai során is magával viheti, így mindig biztos lehet abban, hogy készülékei rendelkezésre állnak, bárhová is vezeti útja. A készülékház masszív fémből készült, így hosszú távon is ellenáll a használat okozta igénybevételnek, továbbá túláramvédelemmel van ellátva, hogy Ön biztonságban tudhassa eszközeit a váratlan áramingadozásoktól is. A 230V-os védőérintkezős csatlakozódugóval gyorsan és egyszerűen csatlakoztatható az európai hálózathoz, így nem kell bonyolult átalakításokkal bajlódnia.
Ne mondjon le az amerikai készülékeiről, ha itthon is szeretné őket használni! Válassza a HOME VTF1000VA feszültségátalakítót, és élvezze a kényelem és megbízhatóság előnyeit minden körülmények között!</t>
        </is>
      </c>
    </row>
    <row r="2036">
      <c r="A2036" s="3" t="inlineStr">
        <is>
          <t>VTF200VA</t>
        </is>
      </c>
      <c r="B2036" s="2" t="inlineStr">
        <is>
          <t>HOME VTF200VA feszültségátalakító, max.200VA, 230V/110V transzformátor, dupla 110V kimeneti aljzat két készülékhez, hordozható</t>
        </is>
      </c>
      <c r="C2036" s="1" t="n">
        <v>15590.0</v>
      </c>
      <c r="D2036" s="7" t="n">
        <f>HYPERLINK("https://www.somogyi.hu/product/home-vtf200va-feszultsegatalakito-max-200va-230v-110v-transzformator-dupla-110v-kimeneti-aljzat-ket-keszulekhez-hordozhato-vtf200va-19067","https://www.somogyi.hu/product/home-vtf200va-feszultsegatalakito-max-200va-230v-110v-transzformator-dupla-110v-kimeneti-aljzat-ket-keszulekhez-hordozhato-vtf200va-19067")</f>
        <v>0.0</v>
      </c>
      <c r="E2036" s="7" t="n">
        <f>HYPERLINK("https://www.somogyi.hu/data/img/product_main_images/small/19067.jpg","https://www.somogyi.hu/data/img/product_main_images/small/19067.jpg")</f>
        <v>0.0</v>
      </c>
      <c r="F2036" s="2" t="inlineStr">
        <is>
          <t>5999084970604</t>
        </is>
      </c>
      <c r="G2036" s="4" t="inlineStr">
        <is>
          <t>Ön is vásárolt pl. az USA-ban olyan elektronikai eszközt, amit itthon nem tud használni a különböző feszültség miatt? A HOME VTF200VA feszültségátalakító megoldást nyújt erre a problémára! 
Ezzel a kompakt, mégis masszív kivitelű transzformátorral gond nélkül működtetheti amerikai készülékeit Európában is. A készülék 220-240V-os hálózati feszültséget alakít át 100-120V-osra, így azok a termékek, amelyek az USA-ban megszokott feszültséggel működnek, itthon is biztonságosan és stabilan használhatók. A HOME VTF200VA tervezése során nagy hangsúlyt fektettek a teljesítményre és a megbízhatóságra. A készülék akár 200VA/160W teljesítményt is biztosít, ami azt jelenti, hogy két különböző eszközt is képes egyszerre ellátni energiával a dupla 110V „USA” védőérintkezős csatlakozóaljzatokon keresztül. Ez különösen praktikus megoldás azok számára, akik több készüléket szeretnének egyszerre használni – legyen szó háztartási kisgépekről, elektronikai eszközökről vagy más berendezésekről. 
A készülék további praktikus jellemzői közé tartozik a beépített be/ki kapcsoló, amellyel könnyedén szabályozhatja a feszültségátalakító működését, valamint a visszajelző LED, amely az aktuális állapotról nyújt információt. Emellett a toroid transzformátorral felszerelt rendszer egyfázisú, tiszta szinuszos feszültséget állít elő, ami a legtöbb háztartási készülékhez ideális megoldást kínál. A készülék kompakt méreteinek és hordozhatóságának köszönhetően akár utazásai során is magával viheti, így mindig biztos lehet abban, hogy készülékei rendelkezésre állnak, bárhová is vezeti útja. A készülékház masszív fémből készült, így hosszú távon is ellenáll a használat okozta igénybevételnek, továbbá túláramvédelemmel van ellátva, hogy Ön biztonságban tudhassa eszközeit a váratlan áramingadozásoktól is. A 230V-os védőérintkezős csatlakozódugóval gyorsan és egyszerűen csatlakoztatható az európai hálózathoz, így nem kell bonyolult átalakításokkal bajlódnia.
Ne mondjon le az amerikai készülékeiről, ha itthon is szeretné őket használni! Válassza a HOME VTF200VA feszültségátalakítót, és élvezze a kényelem és megbízhatóság előnyeit minden körülmények között!</t>
        </is>
      </c>
    </row>
    <row r="2037">
      <c r="A2037" s="3" t="inlineStr">
        <is>
          <t>MW MA06/G+</t>
        </is>
      </c>
      <c r="B2037" s="2" t="inlineStr">
        <is>
          <t>Home MW MA06/G+ hálózati adapter, 600 mA áramfelvételig, ideális 3-12 V-os készülékekhez, szabályozható feszültség, LED visszajelző, fix csatlakozó</t>
        </is>
      </c>
      <c r="C2037" s="1" t="n">
        <v>2290.0</v>
      </c>
      <c r="D2037" s="7" t="n">
        <f>HYPERLINK("https://www.somogyi.hu/product/home-mw-ma06-g-halozati-adapter-600-ma-aramfelvetelig-idealis-3-12-v-os-keszulekekhez-szabalyozhato-feszultseg-led-visszajelzo-fix-csatlakozo-mw-ma06-g-16794","https://www.somogyi.hu/product/home-mw-ma06-g-halozati-adapter-600-ma-aramfelvetelig-idealis-3-12-v-os-keszulekekhez-szabalyozhato-feszultseg-led-visszajelzo-fix-csatlakozo-mw-ma06-g-16794")</f>
        <v>0.0</v>
      </c>
      <c r="E2037" s="7" t="n">
        <f>HYPERLINK("https://www.somogyi.hu/data/img/product_main_images/small/16794.jpg","https://www.somogyi.hu/data/img/product_main_images/small/16794.jpg")</f>
        <v>0.0</v>
      </c>
      <c r="F2037" s="2" t="inlineStr">
        <is>
          <t>5999084948269</t>
        </is>
      </c>
      <c r="G2037" s="4" t="inlineStr">
        <is>
          <t>Szüksége van egy megbízható, szabályozható feszültségű adapterre különböző készülékeihez? A Home MW MA06/G+ hálózati adapter ideális választás mindazoknak, akik többféle feszültségű készüléket szeretnének egyetlen adapterrel működtetni. 
Ez az adapter 3-12 V-os készülékekhez lett tervezve, és akár 600 mA áramfelvételű eszközökkel is megbízhatóan használható. Legyen szó kisebb elektronikai eszközökről, például hordozható rádiókról, LED fényforrásokról vagy más háztartási készülékekről, ez az adapter garantálja a stabil tápellátást. A szabályozható feszültség 3 V-tól 12 V-ig több lépcsőben állítható (3 V, 4,5 V, 5 V, 6 V, 7,5 V, 9 V, 12 V), így pontosan az adott készülék igényeihez igazítható. 
A fix 2,5 x 5,5 mm-es csatlakozó biztos kapcsolatot nyújt a csatlakoztatott eszközzel, így elkerülhető a laza, megbízhatatlan érintkezés. Az LED visszajelző segít a működés egyszerű ellenőrzésében, hogy mindig biztos lehessen abban, hogy eszköze megfelelően kap áramot. A fehér színű adapter nem csak praktikus, de letisztult, modern megjelenésével illik minden környezetbe. Kompakt mérete és könnyű használhatósága ideálissá teszi otthoni vagy munkahelyi használatra is.
Ne hagyja, hogy eszközei tápellátás nélkül maradjanak! Válassza a Home MW MA06/G+ hálózati adaptert, és élvezze a sokoldalú, biztonságos és szabályozható tápellátást bármilyen 3-12 V-os készülékhez!</t>
        </is>
      </c>
    </row>
    <row r="2038">
      <c r="A2038" s="3" t="inlineStr">
        <is>
          <t>MW MA06</t>
        </is>
      </c>
      <c r="B2038" s="2" t="inlineStr">
        <is>
          <t>Home MW MA06 hálózati adapter, 600 mA áramfelvételig, LED visszajelző, 6db-os csatlakozókészlet, 3-12 V DC, polaritás-állítás</t>
        </is>
      </c>
      <c r="C2038" s="1" t="n">
        <v>4590.0</v>
      </c>
      <c r="D2038" s="7" t="n">
        <f>HYPERLINK("https://www.somogyi.hu/product/home-mw-ma06-halozati-adapter-600-ma-aramfelvetelig-led-visszajelzo-6db-os-csatlakozokeszlet-3-12-v-dc-polaritas-allitas-mw-ma06-16781","https://www.somogyi.hu/product/home-mw-ma06-halozati-adapter-600-ma-aramfelvetelig-led-visszajelzo-6db-os-csatlakozokeszlet-3-12-v-dc-polaritas-allitas-mw-ma06-16781")</f>
        <v>0.0</v>
      </c>
      <c r="E2038" s="7" t="n">
        <f>HYPERLINK("https://www.somogyi.hu/data/img/product_main_images/small/16781.jpg","https://www.somogyi.hu/data/img/product_main_images/small/16781.jpg")</f>
        <v>0.0</v>
      </c>
      <c r="F2038" s="2" t="inlineStr">
        <is>
          <t>5999084948139</t>
        </is>
      </c>
      <c r="G2038" s="4" t="inlineStr">
        <is>
          <t>Az MW MA 06 Hálózati adapter 3-12 V DC, 600 mA áram leadásra alkalmas. Feszültsége szabályozható 3 / 4,5 / 5 / 6 / 7,5 / 9 / 12 V között. Működését LED jelző fény mutatja.
Polaritás-állítási lehetőséggel rendelkezik. Tartozékként szállítjuk a hozzá tartozó 6 db-os csatlakozókészletet.
EuP kompatibilis.</t>
        </is>
      </c>
    </row>
    <row r="2039">
      <c r="A2039" s="3" t="inlineStr">
        <is>
          <t>CNE-CCA033W</t>
        </is>
      </c>
      <c r="B2039" s="2" t="inlineStr">
        <is>
          <t>CANYON CNE-CCA033W autós töltő, Lightning kábellel, 1db USB port, 12-24 V</t>
        </is>
      </c>
      <c r="C2039" s="1" t="n">
        <v>1750.0</v>
      </c>
      <c r="D2039" s="7" t="n">
        <f>HYPERLINK("https://www.somogyi.hu/product/canyon-cne-cca033w-autos-tolto-lightning-kabellel-1db-usb-port-12-24-v-cne-cca033w-18074","https://www.somogyi.hu/product/canyon-cne-cca033w-autos-tolto-lightning-kabellel-1db-usb-port-12-24-v-cne-cca033w-18074")</f>
        <v>0.0</v>
      </c>
      <c r="E2039" s="7" t="n">
        <f>HYPERLINK("https://www.somogyi.hu/data/img/product_main_images/small/18074.jpg","https://www.somogyi.hu/data/img/product_main_images/small/18074.jpg")</f>
        <v>0.0</v>
      </c>
      <c r="F2039" s="2" t="inlineStr">
        <is>
          <t>5291485005856</t>
        </is>
      </c>
      <c r="G2039" s="4" t="inlineStr">
        <is>
          <t>Ön is unja már, hogy útközben lemerül a telefonja? A Canyon CNE-CCA033W autós töltő egy 1,2 méteres beépített Lightning kábellel érkezik, amely iPhone-ok és más Apple eszközök töltésére is alkalmas. 
Ez az elegáns és kompakt autós töltő megoldást kínál minden sofőr számára, aki megbízható töltést keres az utazások alatt. Az 1 db USB port 2,4 A-es kimeneti teljesítményével gyors és hatékony töltést biztosít, akár hosszabb utazások alatt is. A 12-24 V bemeneti feszültségnek köszönhetően tökéletes választás szinte minden autóhoz, függetlenül attól, hogy személyautóval vagy teherautóval utazik. A kompakt kialakítás és a fehér szín stílusos megjelenést kölcsönöz neki, így nemcsak praktikus, de esztétikus kiegészítője is az autó belterének.
Ne várjon tovább, tegye kényelmessé az utazásait! Vásárolja meg most, és élvezze az állandó kapcsolatot eszközeivel bárhol, bármikor!</t>
        </is>
      </c>
    </row>
    <row r="2040">
      <c r="A2040" s="3" t="inlineStr">
        <is>
          <t>MW MB10N</t>
        </is>
      </c>
      <c r="B2040" s="2" t="inlineStr">
        <is>
          <t>Home MW MB10N hálózati adapter, 3 - 12 V, 2000 - 1000 mA áramfelvétel, LED visszajelző, polaritás állítás, 6 db csatlakozó, EuP</t>
        </is>
      </c>
      <c r="C2040" s="1" t="n">
        <v>6090.0</v>
      </c>
      <c r="D2040" s="7" t="n">
        <f>HYPERLINK("https://www.somogyi.hu/product/home-mw-mb10n-halozati-adapter-3-12-v-2000-1000-ma-aramfelvetel-led-visszajelzo-polaritas-allitas-6-db-csatlakozo-eup-mw-mb10n-18287","https://www.somogyi.hu/product/home-mw-mb10n-halozati-adapter-3-12-v-2000-1000-ma-aramfelvetel-led-visszajelzo-polaritas-allitas-6-db-csatlakozo-eup-mw-mb10n-18287")</f>
        <v>0.0</v>
      </c>
      <c r="E2040" s="7" t="n">
        <f>HYPERLINK("https://www.somogyi.hu/data/img/product_main_images/small/18287.jpg","https://www.somogyi.hu/data/img/product_main_images/small/18287.jpg")</f>
        <v>0.0</v>
      </c>
      <c r="F2040" s="2" t="inlineStr">
        <is>
          <t>5999084963095</t>
        </is>
      </c>
      <c r="G2040" s="4" t="inlineStr">
        <is>
          <t>Az MW MB10N hálózati adapter 3-12 V DC, 2000-1000 mA áram leadásra alkalmas. Feszültsége szabályozható 3 / 4,5 / 5 / 6 / 7,5 / 9 / 12 V között. Működését LED jelző fény mutatja.
Polaritás-állítási lehetőséggel rendelkezik. Tartozékként szállítjuk a hozzá tartozó 6 db-os csatlakozókészletet.
EuP kompatibilis.</t>
        </is>
      </c>
    </row>
    <row r="2041">
      <c r="A2041" s="3" t="inlineStr">
        <is>
          <t>NBC 65W</t>
        </is>
      </c>
      <c r="B2041" s="2" t="inlineStr">
        <is>
          <t>Home NBC 65W univerzális notebook USB-C gyorstöltő, maximális terhelhetőség 65 Watt,  GaN technológia, hagyományos és PD eszközökhöz</t>
        </is>
      </c>
      <c r="C2041" s="1" t="n">
        <v>8690.0</v>
      </c>
      <c r="D2041" s="7" t="n">
        <f>HYPERLINK("https://www.somogyi.hu/product/home-nbc-65w-univerzalis-notebook-usb-c-gyorstolto-maximalis-terhelhetoseg-65-watt-gan-technologia-hagyomanyos-es-pd-eszkozokhoz-nbc-65w-18198","https://www.somogyi.hu/product/home-nbc-65w-univerzalis-notebook-usb-c-gyorstolto-maximalis-terhelhetoseg-65-watt-gan-technologia-hagyomanyos-es-pd-eszkozokhoz-nbc-65w-18198")</f>
        <v>0.0</v>
      </c>
      <c r="E2041" s="7" t="n">
        <f>HYPERLINK("https://www.somogyi.hu/data/img/product_main_images/small/18198.jpg","https://www.somogyi.hu/data/img/product_main_images/small/18198.jpg")</f>
        <v>0.0</v>
      </c>
      <c r="F2041" s="2" t="inlineStr">
        <is>
          <t>5999084962203</t>
        </is>
      </c>
      <c r="G2041" s="4" t="inlineStr">
        <is>
          <t>Ön is gyors és hatékony töltési megoldást keres notebookjához, mobiltelefonjához, vagy más hordozható eszközéhez? A Home NBC 65W univerzális USB-C gyorstöltő minden igényét kielégíti.
Ez a modern töltő eszköz a legújabb GaN (gallium-nitrid) technológiát használja, amely lehetővé teszi, hogy kisebb méretű legyen, miközben hatékonyabban és gyorsabban tölt, mint a hagyományos töltők. A 65 wattos maximális terhelhetőség biztosítja, hogy akár a legújabb generációs notebookokat és egyéb készülékeket is gyorsan és biztonságosan töltheti.
A töltő univerzális kompatibilitása lehetővé teszi, hogy széles körű „PD” (Power Delivery) és hagyományos USB-eszközökkel is használható legyen. A mellékelt hosszú, körülbelül 1,7 méteres csatlakozókábel extra kényelmet biztosít, így nem kell kompromisszumot kötnie az elérhetőség terén, legyen szó akár otthoni, akár munkahelyi használatról.
Az USB-C kimenet (PD65W) többféle feszültségi szintet támogat, így a legtöbb modern eszköz igényeinek megfelel: 5 V / 3 A, 9 V / 3 A, 12 V / 3 A, 15 V / 3 A, 20 V / 3,25 A, ezzel biztosítva a gyors és hatékony töltést.
Válassza a Home NBC 65W univerzális USB-C gyorstöltőt, hogy eszközei mindig az optimális teljesítményt nyújtsák, és soha ne maradjon lemerült akkumulátorral. Szerezze be ezt a kiváló minőségű, modern technológiájú töltőt, és élvezze a gyors, megbízható töltés előnyeit!</t>
        </is>
      </c>
    </row>
    <row r="2042">
      <c r="A2042" s="6" t="inlineStr">
        <is>
          <t xml:space="preserve">   Utazóadapter / q2power utazóadapter</t>
        </is>
      </c>
      <c r="B2042" s="6" t="inlineStr">
        <is>
          <t/>
        </is>
      </c>
      <c r="C2042" s="6" t="inlineStr">
        <is>
          <t/>
        </is>
      </c>
      <c r="D2042" s="6" t="inlineStr">
        <is>
          <t/>
        </is>
      </c>
      <c r="E2042" s="6" t="inlineStr">
        <is>
          <t/>
        </is>
      </c>
      <c r="F2042" s="6" t="inlineStr">
        <is>
          <t/>
        </is>
      </c>
      <c r="G2042" s="6" t="inlineStr">
        <is>
          <t/>
        </is>
      </c>
    </row>
    <row r="2043">
      <c r="A2043" s="3" t="inlineStr">
        <is>
          <t>1.100110-TH</t>
        </is>
      </c>
      <c r="B2043" s="2" t="inlineStr">
        <is>
          <t>q2power 1.100110-TH utazóadapter, World to Europe USB, USB 5V 2.4A, max. 16 A, 250 V - 4000 W teljesítmény</t>
        </is>
      </c>
      <c r="C2043" s="1" t="n">
        <v>8690.0</v>
      </c>
      <c r="D2043" s="7" t="n">
        <f>HYPERLINK("https://www.somogyi.hu/product/q2power-1-100110-th-utazoadapter-world-to-europe-usb-usb-5v-2-4a-max-16-a-250-v-4000-w-teljesitmeny-1-100110-th-18578","https://www.somogyi.hu/product/q2power-1-100110-th-utazoadapter-world-to-europe-usb-usb-5v-2-4a-max-16-a-250-v-4000-w-teljesitmeny-1-100110-th-18578")</f>
        <v>0.0</v>
      </c>
      <c r="E2043" s="7" t="n">
        <f>HYPERLINK("https://www.somogyi.hu/data/img/product_main_images/small/18578.jpg","https://www.somogyi.hu/data/img/product_main_images/small/18578.jpg")</f>
        <v>0.0</v>
      </c>
      <c r="F2043" s="2" t="inlineStr">
        <is>
          <t>7640166327387</t>
        </is>
      </c>
      <c r="G2043" s="4" t="inlineStr">
        <is>
          <t>Európába utazik és nem akar bajlódni a töltők és adapterek sokaságával? A q2power 1.100110-TH utazóadapter a megoldás.
Ez az innovatív adapter lehetővé teszi, hogy az AUS/CHINA, IT, UK, CH, BRAZIL, USA, EURO (csak földeletlen) szabványú csatlakozókat a GS szabvány szerinti európai aljzatokba csatlakoztassa. Az extra USB csatlakozóval egyszerűen töltheti mobil eszközeit anélkül, hogy külön töltőre lenne szüksége.
A 100-250 V-os bemeneti feszültség és a maximális 16 A-os terhelhetőség biztosítja, hogy készülékei biztonságosan töltődjenek, akár 4000 W teljesítménynél is.
A kis méret és a könnyű használat azt jelenti, hogy ez az adapter a tökéletes társ minden utazáshoz. Ne hagyja otthon a q2power utazóadaptert a következő európai útja során!</t>
        </is>
      </c>
    </row>
    <row r="2044">
      <c r="A2044" s="3" t="inlineStr">
        <is>
          <t>1.200240</t>
        </is>
      </c>
      <c r="B2044" s="2" t="inlineStr">
        <is>
          <t>Q2POWER 1.200240 utazóadapter, France to Italy, indulási ország: FR, célország: IT</t>
        </is>
      </c>
      <c r="C2044" s="1" t="n">
        <v>1150.0</v>
      </c>
      <c r="D2044" s="7" t="n">
        <f>HYPERLINK("https://www.somogyi.hu/product/q2power-1-200240-utazoadapter-france-to-italy-indulasi-orszag-fr-celorszag-it-1-200240-15939","https://www.somogyi.hu/product/q2power-1-200240-utazoadapter-france-to-italy-indulasi-orszag-fr-celorszag-it-1-200240-15939")</f>
        <v>0.0</v>
      </c>
      <c r="E2044" s="7" t="n">
        <f>HYPERLINK("https://www.somogyi.hu/data/img/product_main_images/small/15939.jpg","https://www.somogyi.hu/data/img/product_main_images/small/15939.jpg")</f>
        <v>0.0</v>
      </c>
      <c r="F2044" s="2" t="inlineStr">
        <is>
          <t>7640167560479</t>
        </is>
      </c>
      <c r="G2044" s="4" t="inlineStr">
        <is>
          <t>A Q2 POWER 1.200240 France to Italy Utazóadapter megbízható és esztétikus kivitelben készült. Ha Olaszországba utazik, ne feledkezzen meg a megfelelő utazóadapter beszerzéséről, hogy elektromos készülékeit tölteni tudja. 
Az átalakító kimeneti aljzata FR szabványú.
Célország szabványa: IT. 
Teljesítménye 100 V- 1000 W/ 250 V- 2500 W. Maximum 10 A-ig terhelhető. 
Prémium termékek a nagy utazóknak!</t>
        </is>
      </c>
    </row>
    <row r="2045">
      <c r="A2045" s="3" t="inlineStr">
        <is>
          <t>1.100100-TH</t>
        </is>
      </c>
      <c r="B2045" s="2" t="inlineStr">
        <is>
          <t>Q2POWER 1.100100-TH utazóadapter, World to Europe, bemeneti feszültség: 100-250 V, 16 A, teljesítmény: 100V-1600W/250V-4000W</t>
        </is>
      </c>
      <c r="C2045" s="1" t="n">
        <v>4790.0</v>
      </c>
      <c r="D2045" s="7" t="n">
        <f>HYPERLINK("https://www.somogyi.hu/product/q2power-1-100100-th-utazoadapter-world-to-europe-bemeneti-feszultseg-100-250-v-16-a-teljesitmeny-100v-1600w-250v-4000w-1-100100-th-17699","https://www.somogyi.hu/product/q2power-1-100100-th-utazoadapter-world-to-europe-bemeneti-feszultseg-100-250-v-16-a-teljesitmeny-100v-1600w-250v-4000w-1-100100-th-17699")</f>
        <v>0.0</v>
      </c>
      <c r="E2045" s="7" t="n">
        <f>HYPERLINK("https://www.somogyi.hu/data/img/product_main_images/small/17699.jpg","https://www.somogyi.hu/data/img/product_main_images/small/17699.jpg")</f>
        <v>0.0</v>
      </c>
      <c r="F2045" s="2" t="inlineStr">
        <is>
          <t>7640166325406</t>
        </is>
      </c>
      <c r="G2045" s="4" t="inlineStr">
        <is>
          <t>Gyakran utazik különböző országokba és szüksége van egy megbízható, univerzális utazóadapterre? A Q2POWER 1.100100-TH az ideális megoldás azok számára, akik a világ számos pontjára utaznak, és szükségük van egy sokoldalú adapterre a különböző elektromos csatlakozókhoz.
Ez az utazóadapter széles körben kompatibilis az AUS/CHINA, IT, UK, CH, BRAZIL, USA, EURO (csak földeletlen) szabványokkal, így gyakorlatilag a világ bármely részén használható. A célország csatlakozójának GS szabványával is kompatibilis, ami tovább növeli annak sokoldalúságát. A bemeneti feszültség 100-250 V között állítható, így alkalmazkodik a különböző országok elektromos hálózataihoz.
A maximális terhelhetősége 16 A, ami lehetővé teszi, hogy akár nagyobb teljesítményű eszközöket is csatlakoztasson hozzá biztonságosan. A teljesítménye 100V-on 1600W, míg 250V-on akár 4000W is lehet, így széles körben használható különböző elektromos készülékekhez.
Válassza a Q2POWER 1.100100-TH utazóadaptert, hogy biztonságosan és kényelmesen használhassa elektromos eszközeit bárhol a világon. Rendelje meg most, és élvezze a globális utazások során nyújtott kényelmet és megbízhatóságot.</t>
        </is>
      </c>
    </row>
    <row r="2046">
      <c r="A2046" s="3" t="inlineStr">
        <is>
          <t>1.100170</t>
        </is>
      </c>
      <c r="B2046" s="2" t="inlineStr">
        <is>
          <t>Q2POWER 1.100170 utazóadapter, World to Australia USB, indulási ország: AUS/CHINA, IT, UK, CH, BRAZIL, USA, EURO, célország: AUS/CHI, USB port</t>
        </is>
      </c>
      <c r="C2046" s="1" t="n">
        <v>2190.0</v>
      </c>
      <c r="D2046" s="7" t="n">
        <f>HYPERLINK("https://www.somogyi.hu/product/q2power-1-100170-utazoadapter-world-to-australia-usb-indulasi-orszag-aus-china-it-uk-ch-brazil-usa-euro-celorszag-aus-chi-usb-port-1-100170-15927","https://www.somogyi.hu/product/q2power-1-100170-utazoadapter-world-to-australia-usb-indulasi-orszag-aus-china-it-uk-ch-brazil-usa-euro-celorszag-aus-chi-usb-port-1-100170-15927")</f>
        <v>0.0</v>
      </c>
      <c r="E2046" s="7" t="n">
        <f>HYPERLINK("https://www.somogyi.hu/data/img/product_main_images/small/15927.jpg","https://www.somogyi.hu/data/img/product_main_images/small/15927.jpg")</f>
        <v>0.0</v>
      </c>
      <c r="F2046" s="2" t="inlineStr">
        <is>
          <t>7640167560080</t>
        </is>
      </c>
      <c r="G2046" s="4" t="inlineStr">
        <is>
          <t>A Q2 POWER 1.100170 World to Australia/China USB Utazóadapter megbízható és esztétikus kivitelben készült. Ha Ausztráliába vagy Kínába utazik, ne feledkezzen meg a megfelelő utazóadapter beszerzéséről, hogy elektromos készülékeit tölteni tudja. A termék extra USB aljzattal ellátott, hogy egyszerre két készüléket is feltölthessen.
Az átalakító kimeneti aljzata AUS/CHINA, IT, UK, CH, BRAZIL, USA, EURO (csak földeletlen) szabványú.
Célország szabványa: AUS/CHI. 
Teljesítménye 100 V- 1000 W/ 250 V- 2500 W. Maximum 10 A-ig terhelhető. 
Prémium termékek a nagy utazóknak!</t>
        </is>
      </c>
    </row>
    <row r="2047">
      <c r="A2047" s="3" t="inlineStr">
        <is>
          <t>1.100210</t>
        </is>
      </c>
      <c r="B2047" s="2" t="inlineStr">
        <is>
          <t>Q2POWER 1.100210 utazóadapter, World to Switzerland USB, indulási ország: AUS/CHINA, IT, UK, CH, BRAZIL, USA, EURO, célország: CH, USB port</t>
        </is>
      </c>
      <c r="C2047" s="1" t="n">
        <v>2190.0</v>
      </c>
      <c r="D2047" s="7" t="n">
        <f>HYPERLINK("https://www.somogyi.hu/product/q2power-1-100210-utazoadapter-world-to-switzerland-usb-indulasi-orszag-aus-china-it-uk-ch-brazil-usa-euro-celorszag-ch-usb-port-1-100210-15929","https://www.somogyi.hu/product/q2power-1-100210-utazoadapter-world-to-switzerland-usb-indulasi-orszag-aus-china-it-uk-ch-brazil-usa-euro-celorszag-ch-usb-port-1-100210-15929")</f>
        <v>0.0</v>
      </c>
      <c r="E2047" s="7" t="n">
        <f>HYPERLINK("https://www.somogyi.hu/data/img/product_main_images/small/15929.jpg","https://www.somogyi.hu/data/img/product_main_images/small/15929.jpg")</f>
        <v>0.0</v>
      </c>
      <c r="F2047" s="2" t="inlineStr">
        <is>
          <t>7640167560127</t>
        </is>
      </c>
      <c r="G2047" s="4" t="inlineStr">
        <is>
          <t>A Q2 POWER 1.100210 World to Switzerland USB Utazóadapter megbízható és esztétikus kivitelben készült. Ha Svájcba utazik, ne feledkezzen meg a megfelelő utazóadapter beszerzéséről, hogy elektromos készülékeit tölteni tudja. A termék extra USB aljzattal ellátott, hogy egyszerre két készüléket is feltölthessen.
Az átalakító kimeneti aljzata AUS/CHINA, IT, UK, CH, BRAZIL, USA, EURO (csak földeletlen) szabványú.
Célország szabványa: CH. 
Teljesítménye 100 V- 1000 W/ 250 V- 2500 W. Maximum 10 A-ig terhelhető. 
Prémium termékek a nagy utazóknak!</t>
        </is>
      </c>
    </row>
    <row r="2048">
      <c r="A2048" s="3" t="inlineStr">
        <is>
          <t>1.200100-TH</t>
        </is>
      </c>
      <c r="B2048" s="2" t="inlineStr">
        <is>
          <t>Q2POWER 1.200100-TH utazóadapter, Europe to UK, bemeneti feszültség: 100-250 V, 7 A, teljesítmény:100V-700W/250V-1750W</t>
        </is>
      </c>
      <c r="C2048" s="1" t="n">
        <v>3790.0</v>
      </c>
      <c r="D2048" s="7" t="n">
        <f>HYPERLINK("https://www.somogyi.hu/product/q2power-1-200100-th-utazoadapter-europe-to-uk-bemeneti-feszultseg-100-250-v-7-a-teljesitmeny-100v-700w-250v-1750w-1-200100-th-18115","https://www.somogyi.hu/product/q2power-1-200100-th-utazoadapter-europe-to-uk-bemeneti-feszultseg-100-250-v-7-a-teljesitmeny-100v-700w-250v-1750w-1-200100-th-18115")</f>
        <v>0.0</v>
      </c>
      <c r="E2048" s="7" t="n">
        <f>HYPERLINK("https://www.somogyi.hu/data/img/product_main_images/small/18115.jpg","https://www.somogyi.hu/data/img/product_main_images/small/18115.jpg")</f>
        <v>0.0</v>
      </c>
      <c r="F2048" s="2" t="inlineStr">
        <is>
          <t>7640166327363</t>
        </is>
      </c>
      <c r="G2048" s="4" t="inlineStr">
        <is>
          <t>Utazik Európából az Egyesült Királyságba és nem biztos az adapterében? A Q2 Utazóadapter 'Europe to UK' itt van, hogy megkönnyítse az életét!
Ez az utazóadapter speciálisan tervezett azoknak, akik Európából az Egyesült Királyságba utaznak, és egy megbízható adapterre van szükségük. A ""Europe to UK"" funkcióval ellátott adapter lehetővé teszi a földelt GS csatlakozós készülékek használatát is. Az adapter kompatibilis az indulás országának GS szabványával, és a célország csatlakozójának UK szabványával. Bemeneti feszültsége 100-250 V, és akár 7 A maximális terhelést is képes kezelni. Teljesítménye 100 V esetén 700 W, míg 250 V esetén 1750 W.
Ne hagyja, hogy az adapter hiánya vagy inkompatibilitása hátráltassa az utazásban! Szerezze be a Q2 Utazóadaptert 'Europe to UK' most, és legyen felkészülve a zökkenőmentes és kényelmes utazásra! Ne maradj le a lehetőségről!</t>
        </is>
      </c>
    </row>
    <row r="2049">
      <c r="A2049" s="3" t="inlineStr">
        <is>
          <t>1.200220</t>
        </is>
      </c>
      <c r="B2049" s="2" t="inlineStr">
        <is>
          <t>Q2POWER 1.200220 utazóadapter, France to Australia, indulási ország: FR, célország: AUS/CHI</t>
        </is>
      </c>
      <c r="C2049" s="1" t="n">
        <v>1150.0</v>
      </c>
      <c r="D2049" s="7" t="n">
        <f>HYPERLINK("https://www.somogyi.hu/product/q2power-1-200220-utazoadapter-france-to-australia-indulasi-orszag-fr-celorszag-aus-chi-1-200220-15937","https://www.somogyi.hu/product/q2power-1-200220-utazoadapter-france-to-australia-indulasi-orszag-fr-celorszag-aus-chi-1-200220-15937")</f>
        <v>0.0</v>
      </c>
      <c r="E2049" s="7" t="n">
        <f>HYPERLINK("https://www.somogyi.hu/data/img/product_main_images/small/15937.jpg","https://www.somogyi.hu/data/img/product_main_images/small/15937.jpg")</f>
        <v>0.0</v>
      </c>
      <c r="F2049" s="2" t="inlineStr">
        <is>
          <t>7640167560462</t>
        </is>
      </c>
      <c r="G2049" s="4" t="inlineStr">
        <is>
          <t>A Q2 POWER 1.200220 France to Australia/China Utazóadapter megbízható és esztétikus kivitelben készült. Ha Ausztráliába vagy Kínába utazik, ne feledkezzen meg a megfelelő utazóadapter beszerzéséről, hogy elektromos készülékeit tölteni tudja. 
Az átalakító kimeneti aljzata FR szabványú.
Célország szabványa: AUS/CHI. 
Teljesítménye 100 V- 1000 W/ 250 V- 2500 W. Maximum 10 A-ig terhelhető. 
Prémium termékek a nagy utazóknak!</t>
        </is>
      </c>
    </row>
    <row r="2050">
      <c r="A2050" s="3" t="inlineStr">
        <is>
          <t>1.100190</t>
        </is>
      </c>
      <c r="B2050" s="2" t="inlineStr">
        <is>
          <t>Q2POWER 1.100190 utazóadapter, World to Italy USB, indulási ország: AUS/CHINA, IT, UK, CH, BRAZIL, USA, EURO, célország: IT, USB port</t>
        </is>
      </c>
      <c r="C2050" s="1" t="n">
        <v>2190.0</v>
      </c>
      <c r="D2050" s="7" t="n">
        <f>HYPERLINK("https://www.somogyi.hu/product/q2power-1-100190-utazoadapter-world-to-italy-usb-indulasi-orszag-aus-china-it-uk-ch-brazil-usa-euro-celorszag-it-usb-port-1-100190-15928","https://www.somogyi.hu/product/q2power-1-100190-utazoadapter-world-to-italy-usb-indulasi-orszag-aus-china-it-uk-ch-brazil-usa-euro-celorszag-it-usb-port-1-100190-15928")</f>
        <v>0.0</v>
      </c>
      <c r="E2050" s="7" t="n">
        <f>HYPERLINK("https://www.somogyi.hu/data/img/product_main_images/small/15928.jpg","https://www.somogyi.hu/data/img/product_main_images/small/15928.jpg")</f>
        <v>0.0</v>
      </c>
      <c r="F2050" s="2" t="inlineStr">
        <is>
          <t>7640167560103</t>
        </is>
      </c>
      <c r="G2050" s="4" t="inlineStr">
        <is>
          <t>A Q2 POWER 1.100190 World to Italy USB Utazóadapter megbízható és esztétikus kivitelben készült. Ha Olaszországba utazik, ne feledkezzen meg a megfelelő utazóadapter beszerzéséről, hogy elektromos készülékeit tölteni tudja. A termék extra USB aljzattal ellátott, hogy egyszerre két készüléket is feltölthessen.
Az átalakító kimeneti aljzata AUS/CHINA, IT, UK, CH, BRAZIL, USA, EURO (csak földeletlen) szabványú.
Célország szabványa: IT. 
Teljesítménye 100 V- 1000 W/ 250 V- 2500 W. Maximum 10 A-ig terhelhető. 
Prémium termékek a nagy utazóknak!</t>
        </is>
      </c>
    </row>
    <row r="2051">
      <c r="A2051" s="3" t="inlineStr">
        <is>
          <t>1.100100</t>
        </is>
      </c>
      <c r="B2051" s="2" t="inlineStr">
        <is>
          <t>Q2 power Utazóadapter, "World to Europe"</t>
        </is>
      </c>
      <c r="C2051" s="1" t="n">
        <v>2690.0</v>
      </c>
      <c r="D2051" s="7" t="n">
        <f>HYPERLINK("https://www.somogyi.hu/product/q2-power-utazoadapter-world-to-europe-1-100100-15918","https://www.somogyi.hu/product/q2-power-utazoadapter-world-to-europe-1-100100-15918")</f>
        <v>0.0</v>
      </c>
      <c r="E2051" s="7" t="n">
        <f>HYPERLINK("https://www.somogyi.hu/data/img/product_main_images/small/15918.jpg","https://www.somogyi.hu/data/img/product_main_images/small/15918.jpg")</f>
        <v>0.0</v>
      </c>
      <c r="F2051" s="2" t="inlineStr">
        <is>
          <t>7640167560011</t>
        </is>
      </c>
      <c r="G2051" s="4" t="inlineStr">
        <is>
          <t>A Q2 Power 1.100100 Utazóadapter megbízható és esztétikus kivitelben készült. Ha külföldre utazik, ne feledkezzen meg a megfelelő utazóadapter beszerzéséről, hogy elektromos készülékeit tölteni tudja. 
Az átalakító kimeneti aljzata AUS/CHINA, IT, UK, CH, BRAZIL, USA szabványú.
Bemeneti csatlakozódugó EUR szabványú. 
Teljesítménye 100 V- 1600 W/ 250 V- 4000 W. Maximum 16 A-ig terhelhető.
A prémium minőségű Q2 POWER termékek hosszú távú és megbízható használatot biztosítanak.</t>
        </is>
      </c>
    </row>
    <row r="2052">
      <c r="A2052" s="3" t="inlineStr">
        <is>
          <t>1.100110</t>
        </is>
      </c>
      <c r="B2052" s="2" t="inlineStr">
        <is>
          <t>Q2POWER 1.100110 utazóadapter, World to Europe USB, bemeneti feszültség: 100-250 V, 16 A, teljesítmény: 100V-1600W/250V-4000W, USB port</t>
        </is>
      </c>
      <c r="C2052" s="1" t="n">
        <v>8290.0</v>
      </c>
      <c r="D2052" s="7" t="n">
        <f>HYPERLINK("https://www.somogyi.hu/product/q2power-1-100110-utazoadapter-world-to-europe-usb-bemeneti-feszultseg-100-250-v-16-a-teljesitmeny-100v-1600w-250v-4000w-usb-port-1-100110-15924","https://www.somogyi.hu/product/q2power-1-100110-utazoadapter-world-to-europe-usb-bemeneti-feszultseg-100-250-v-16-a-teljesitmeny-100v-1600w-250v-4000w-usb-port-1-100110-15924")</f>
        <v>0.0</v>
      </c>
      <c r="E2052" s="7" t="n">
        <f>HYPERLINK("https://www.somogyi.hu/data/img/product_main_images/small/15924.jpg","https://www.somogyi.hu/data/img/product_main_images/small/15924.jpg")</f>
        <v>0.0</v>
      </c>
      <c r="F2052" s="2" t="inlineStr">
        <is>
          <t>7640167560028</t>
        </is>
      </c>
      <c r="G2052" s="4" t="inlineStr">
        <is>
          <t>A Q2 Power 1.100110 Utazóadapter megbízható és esztétikus kivitelben készült. Ha külföldre utazik, ne feledkezzen meg a megfelelő utazóadapter beszerzéséről, hogy elektromos készülékeit tölteni tudja. A termék extra USB aljzattal ellátott, hogy egyszerre két készüléket is feltölthessen. 
Az átalakító kimeneti aljzata AUS/CHINA, IT, UK, CH, BRAZIL, USA szabványú.
Bemeneti csatlakozódugó EUR szabványú. 
Teljesítménye 100 V- 1600 W/ 250 V- 4000 W. Maximum 16 A-ig terhelhető. 
A prémium minőségű Q2 POWER termékek hosszú távú és megbízható használatot biztosítanak.</t>
        </is>
      </c>
    </row>
    <row r="2053">
      <c r="A2053" s="3" t="inlineStr">
        <is>
          <t>2.100130</t>
        </is>
      </c>
      <c r="B2053" s="2" t="inlineStr">
        <is>
          <t>Q2POWER 2.100130 utazóadapter, Qdapter 360 USB, két készülék a szettben: Qdapter (USB aljzattal) és World to Europe</t>
        </is>
      </c>
      <c r="C2053" s="1" t="n">
        <v>4990.0</v>
      </c>
      <c r="D2053" s="7" t="n">
        <f>HYPERLINK("https://www.somogyi.hu/product/q2power-2-100130-utazoadapter-qdapter-360-usb-ket-keszulek-a-szettben-qdapter-usb-aljzattal-es-world-to-europe-2-100130-15943","https://www.somogyi.hu/product/q2power-2-100130-utazoadapter-qdapter-360-usb-ket-keszulek-a-szettben-qdapter-usb-aljzattal-es-world-to-europe-2-100130-15943")</f>
        <v>0.0</v>
      </c>
      <c r="E2053" s="7" t="n">
        <f>HYPERLINK("https://www.somogyi.hu/data/img/product_main_images/small/15943.jpg","https://www.somogyi.hu/data/img/product_main_images/small/15943.jpg")</f>
        <v>0.0</v>
      </c>
      <c r="F2053" s="2" t="inlineStr">
        <is>
          <t>7640167560578</t>
        </is>
      </c>
      <c r="G2053" s="4" t="inlineStr">
        <is>
          <t>A Q2 POWER 2.100130 Qdapter 360 USB Utazóadapter szett megbízható és esztétikus kivitelben készült. Ha külföldre utazik, ne feledkezzen meg a megfelelő utazóadapter beszerzéséről, hogy elektromos készülékeit tölteni tudja. A Qdapter extra USB aljzattal ellátott, hogy egyszerre két készüléket is feltölthessen.
Az átalakító kimeneti aljzata AUS/CHINA, IT, UK, CH, BRAZIL, USA, EURO (földeletlen) szabványú.
Célország szabványa: Qdapter: AUS, BRAZIL, IT, CH, UK, USA; World to Europe: GS
A Qdapter 10 A-ig, a World to Europe 16 A-ig terhelhető. 
Teljesítményük: Qdapter 100 V-1000W/250 V-2500 W, World to Europe 100 V-1600 W/250 V-4000 W.
A szett 1 db USB-s Qdaptert (2.100110) és 1 db World to Europe (1.100100) adaptert tartalmaz. 
Prémium termékek a nagy utazóknak!</t>
        </is>
      </c>
    </row>
    <row r="2054">
      <c r="A2054" s="3" t="inlineStr">
        <is>
          <t>1.200110</t>
        </is>
      </c>
      <c r="B2054" s="2" t="inlineStr">
        <is>
          <t>Q2POWER 1.200110 utazóadapter, Europe to USA, indulási ország: EUROPE, célország: USA</t>
        </is>
      </c>
      <c r="C2054" s="1" t="n">
        <v>3990.0</v>
      </c>
      <c r="D2054" s="7" t="n">
        <f>HYPERLINK("https://www.somogyi.hu/product/q2power-1-200110-utazoadapter-europe-to-usa-indulasi-orszag-europe-celorszag-usa-1-200110-15931","https://www.somogyi.hu/product/q2power-1-200110-utazoadapter-europe-to-usa-indulasi-orszag-europe-celorszag-usa-1-200110-15931")</f>
        <v>0.0</v>
      </c>
      <c r="E2054" s="7" t="n">
        <f>HYPERLINK("https://www.somogyi.hu/data/img/product_main_images/small/15931.jpg","https://www.somogyi.hu/data/img/product_main_images/small/15931.jpg")</f>
        <v>0.0</v>
      </c>
      <c r="F2054" s="2" t="inlineStr">
        <is>
          <t>7640167560332</t>
        </is>
      </c>
      <c r="G2054" s="4" t="inlineStr">
        <is>
          <t>Egy amerikai utazást tervez, de aggódik, hogy európai elektromos eszközei nem fognak működni? A Q2POWER 1.200110 a tökéletes megoldás azok számára, akik egy megbízható és univerzális adaptert keresnek Európából az USA-ba történő utazásukhoz.
Ez az utazóadapter kifejezetten földelt GS csatlakozós készülékekhez készült, így biztonságos használatot garantál. Kompatibilis az európai (EUROPE) indulási országok csatlakozó szabványaival, és tökéletesen illeszkedik az amerikai (USA) célország csatlakozóival.
A bemeneti feszültség skálája 100-250V, ami lehetővé teszi az adapter használatát a különböző feszültségű országokban. A maximális terhelhetősége 15 A, ami biztosítja, hogy közepes és nagy teljesítményű eszközök is csatlakoztathatók legyenek biztonságosan. A teljesítménye 100V-on 1500W, míg 250V-on akár 3750W is lehet, így széles körben használható különböző elektromos készülékekhez.
Válassza a Q2POWER 1.200110 utazóadaptert az amerikai utazásaihoz, és élvezze a problémamentes elektromos csatlakoztatást. Rendelje meg most, és utazzon gondtalanul, tudva, hogy európai elektromos eszközei kompatibilisek lesznek az USA-ban.</t>
        </is>
      </c>
    </row>
    <row r="2055">
      <c r="A2055" s="3" t="inlineStr">
        <is>
          <t>1.200230</t>
        </is>
      </c>
      <c r="B2055" s="2" t="inlineStr">
        <is>
          <t>Q2POWER 1.200230 utazóadapter, France to Switzerland, indulási ország: FR, célország: CH</t>
        </is>
      </c>
      <c r="C2055" s="1" t="n">
        <v>1150.0</v>
      </c>
      <c r="D2055" s="7" t="n">
        <f>HYPERLINK("https://www.somogyi.hu/product/q2power-1-200230-utazoadapter-france-to-switzerland-indulasi-orszag-fr-celorszag-ch-1-200230-15938","https://www.somogyi.hu/product/q2power-1-200230-utazoadapter-france-to-switzerland-indulasi-orszag-fr-celorszag-ch-1-200230-15938")</f>
        <v>0.0</v>
      </c>
      <c r="E2055" s="7" t="n">
        <f>HYPERLINK("https://www.somogyi.hu/data/img/product_main_images/small/15938.jpg","https://www.somogyi.hu/data/img/product_main_images/small/15938.jpg")</f>
        <v>0.0</v>
      </c>
      <c r="F2055" s="2" t="inlineStr">
        <is>
          <t>7640167560486</t>
        </is>
      </c>
      <c r="G2055" s="4" t="inlineStr">
        <is>
          <t>A Q2 POWER 1.200230 France to Switzerland Utazóadapter megbízható és esztétikus kivitelben készült. Ha Svájcba utazik, ne feledkezzen meg a megfelelő utazóadapter beszerzéséről, hogy elektromos készülékeit tölteni tudja. 
Az átalakító kimeneti aljzata FR szabványú.
Célország szabványa: CH. 
Teljesítménye 100 V- 1000 W/ 250 V- 2500 W. Maximum 10 A-ig terhelhető. 
Prémium termékek a nagy utazóknak!</t>
        </is>
      </c>
    </row>
    <row r="2056">
      <c r="A2056" s="6" t="inlineStr">
        <is>
          <t xml:space="preserve">   Fűtés, Párátlanítás, Párásítás / Elektromos kandalló</t>
        </is>
      </c>
      <c r="B2056" s="6" t="inlineStr">
        <is>
          <t/>
        </is>
      </c>
      <c r="C2056" s="6" t="inlineStr">
        <is>
          <t/>
        </is>
      </c>
      <c r="D2056" s="6" t="inlineStr">
        <is>
          <t/>
        </is>
      </c>
      <c r="E2056" s="6" t="inlineStr">
        <is>
          <t/>
        </is>
      </c>
      <c r="F2056" s="6" t="inlineStr">
        <is>
          <t/>
        </is>
      </c>
      <c r="G2056" s="6" t="inlineStr">
        <is>
          <t/>
        </is>
      </c>
    </row>
    <row r="2057">
      <c r="A2057" s="3" t="inlineStr">
        <is>
          <t>FKKF 03</t>
        </is>
      </c>
      <c r="B2057" s="2" t="inlineStr">
        <is>
          <t>Home FKKF 03 BOLOGNA keret kandallóbetéthez – Világos sonoma</t>
        </is>
      </c>
      <c r="C2057" s="1" t="n">
        <v>113990.0</v>
      </c>
      <c r="D2057" s="7" t="n">
        <f>HYPERLINK("https://www.somogyi.hu/product/home-fkkf-03-bologna-keret-kandallobetethez-vilagos-sonoma-fkkf-03-17868","https://www.somogyi.hu/product/home-fkkf-03-bologna-keret-kandallobetethez-vilagos-sonoma-fkkf-03-17868")</f>
        <v>0.0</v>
      </c>
      <c r="E2057" s="7" t="n">
        <f>HYPERLINK("https://www.somogyi.hu/data/img/product_main_images/small/17868.jpg","https://www.somogyi.hu/data/img/product_main_images/small/17868.jpg")</f>
        <v>0.0</v>
      </c>
      <c r="F2057" s="2" t="inlineStr">
        <is>
          <t>5999084958909</t>
        </is>
      </c>
      <c r="G2057" s="4" t="inlineStr">
        <is>
          <t>Szeretné, ha otthona stílusos és barátságos lenne egy elegáns kandallóval? A Home FKKF 03 BOLOGNA keret tökéletes választás az otthona számára! 
Ez a világos sonoma színű keret kifejezetten a HOME FKKI 03 beépíthető látványkandalló-betéttel való használatra készült, amely külön megvásárolható. A laminált forgácslap anyag tartósságot és esztétikus megjelenést biztosít, miközben könnyen karbantartható. A keret méretei 96,5x76,5x27,5 cm, így ideális választás minden nappaliba vagy hálószobába.
A Home FKKF 03 BOLOGNA keret elegáns és modern dizájnja bármely helyiség dísze lehet, és tökéletesen kiegészíti a beépíthető látványkandalló-betétet. Az egyszerű telepítési folyamatnak köszönhetően gyorsan és problémamentesen varázsolhatja otthonát melegebbé és meghittebbé.
Ne hagyja ki ezt a lehetőséget, válassza a Home FKKF 03 BOLOGNA keretet, és tegye otthonát még vonzóbbá és stílusosabbá – rendeljen most, és élvezze a kandalló meghitt hangulatát minden nap!</t>
        </is>
      </c>
    </row>
    <row r="2058">
      <c r="A2058" s="3" t="inlineStr">
        <is>
          <t>FKKF 02</t>
        </is>
      </c>
      <c r="B2058" s="2" t="inlineStr">
        <is>
          <t>Home FKKF 02 MILANO keret kandallóbetéthez – Tobacco bükk</t>
        </is>
      </c>
      <c r="C2058" s="1" t="n">
        <v>102990.0</v>
      </c>
      <c r="D2058" s="7" t="n">
        <f>HYPERLINK("https://www.somogyi.hu/product/home-fkkf-02-milano-keret-kandallobetethez-tobacco-bukk-fkkf-02-17867","https://www.somogyi.hu/product/home-fkkf-02-milano-keret-kandallobetethez-tobacco-bukk-fkkf-02-17867")</f>
        <v>0.0</v>
      </c>
      <c r="E2058" s="7" t="n">
        <f>HYPERLINK("https://www.somogyi.hu/data/img/product_main_images/small/17867.jpg","https://www.somogyi.hu/data/img/product_main_images/small/17867.jpg")</f>
        <v>0.0</v>
      </c>
      <c r="F2058" s="2" t="inlineStr">
        <is>
          <t>5999084958893</t>
        </is>
      </c>
      <c r="G2058" s="4" t="inlineStr">
        <is>
          <t>Gondolt már arra, hogy hogyan tehetné otthonát még melegebbé és elegánsabbá egy gyönyörű kandallóval? A Home FKKF 02 MILANO keret a tökéletes választás! 
Ez a keret kifejezetten a HOME FKKI 03 beépíthető látványkandalló-betéthez készült, amely külön megvásárolható. A Tobacco bükk színű laminált forgácslap anyag elegáns és természetes megjelenést kölcsönöz bármely helyiségnek, miközben tartósságot és könnyű karbantartást biztosít. A keret mérete 96,5x76,5x27,5 cm, ami ideálissá teszi a legtöbb nappali vagy hálószoba számára.
A Home FKKF 02 MILANO keret stílusos dizájnja bármilyen belső térnek exkluzív megjelenést kölcsönöz, és tökéletes hátteret nyújt a beépíthető látványkandalló-betét számára. Az egyszerű telepítésnek köszönhetően gyorsan és problémamentesen alakíthatja át otthonát egy hangulatos és barátságos környezetté.
Ne habozzon, válassza a Home FKKF 02 MILANO keretet, és varázsolja otthonát melegebbé és elegánsabbá – rendeljen most, és élvezze a meghitt hangulatot minden nap!</t>
        </is>
      </c>
    </row>
    <row r="2059">
      <c r="A2059" s="3" t="inlineStr">
        <is>
          <t>FKKI 05</t>
        </is>
      </c>
      <c r="B2059" s="2" t="inlineStr">
        <is>
          <t>Home FKKI 05 beépíthető vagy falra szerelhető elektromos látványkandalló, 1000W/2000W, heti program, távirányító</t>
        </is>
      </c>
      <c r="C2059" s="1" t="n">
        <v>101990.0</v>
      </c>
      <c r="D2059" s="7" t="n">
        <f>HYPERLINK("https://www.somogyi.hu/product/home-fkki-05-beepitheto-vagy-falra-szerelheto-elektromos-latvanykandallo-1000w-2000w-heti-program-taviranyito-fkki-05-17783","https://www.somogyi.hu/product/home-fkki-05-beepitheto-vagy-falra-szerelheto-elektromos-latvanykandallo-1000w-2000w-heti-program-taviranyito-fkki-05-17783")</f>
        <v>0.0</v>
      </c>
      <c r="E2059" s="7" t="n">
        <f>HYPERLINK("https://www.somogyi.hu/data/img/product_main_images/small/17783.jpg","https://www.somogyi.hu/data/img/product_main_images/small/17783.jpg")</f>
        <v>0.0</v>
      </c>
      <c r="F2059" s="2" t="inlineStr">
        <is>
          <t>5999084958053</t>
        </is>
      </c>
      <c r="G2059" s="4" t="inlineStr">
        <is>
          <t>Hogyan varázsolhatja otthonát még hangulatosabbá és kényelmesebbé egy modern elektromos látványkandallóval? A Home FKKI 05 elektromos látványkandalló ideális választás mindazok számára, akik egy stílusos és praktikus fűtési megoldást keresnek. 
Ez a kandalló beépíthető vagy falra szerelhető, így tökéletesen illeszkedik bármely otthon dizájnjába. A valósághű izzó farönk és lángeffekt önállóan is kapcsolható, így élvezheti a kandalló látványát a fűtési funkció nélkül is. A készülék két fűtési fokozattal rendelkezik (1000 W és 2000 W), valamint beépített ventilátorral, amely biztosítja a hatékony hőeloszlást. Az elektronikus termosztát és a programozhatóság lehetővé teszi a kényelmes és energiatakarékos használatot. A LED fényforrás (max 13 W) valósághű lángszínt biztosít, amely nem cserélhető, de hosszú élettartammal rendelkezik.
A Home FKKI 05 alapanyaga fém és üveg, ami elegáns megjelenést kölcsönöz neki. A készülék ideális 30 m²-es helyiségek fűtésére, és 50 dB(A) zajszintjével csendesen működik. Fontos megjegyezni, hogy a készülék nem alkalmas fürdőszobai telepítésre. A kandalló méretei 91,5 x 45 x 17 cm, a beépítési mérete pedig 82 x 43 cm, így könnyen elhelyezhető a lakás bármely pontján. A tápkábel hossza 1,5 m, tápellátása 230 V~ / 50 Hz. A távirányító tápellátása 2 x AAA elem (nem tartozék), amely lehetővé teszi a készülék minden funkciójának kényelmes vezérlését.
További előnyök közé tartozik a választható lángszín, az automatikus bekapcsolásszabályozás és a túlmelegedés elleni védelem, amely garantálja a biztonságos használatot.
Ne várjon tovább! Szerezze be most a Home FKKI 05 elektromos látványkandallót, és élvezze otthona melegét és hangulatát minden nap!</t>
        </is>
      </c>
    </row>
    <row r="2060">
      <c r="A2060" s="3" t="inlineStr">
        <is>
          <t>FKK BOLOGNA</t>
        </is>
      </c>
      <c r="B2060" s="2" t="inlineStr">
        <is>
          <t>Home FKKF 03 + FKKI 03 KIT FKK Bologna beépíthető elektromos látványkandalló kerettel, sonoma</t>
        </is>
      </c>
      <c r="C2060" s="1" t="n">
        <v>177990.0</v>
      </c>
      <c r="D2060" s="7" t="n">
        <f>HYPERLINK("https://www.somogyi.hu/product/home-fkkf-03-fkki-03-kit-fkk-bologna-beepitheto-elektromos-latvanykandallo-kerettel-sonoma-fkk-bologna-18058","https://www.somogyi.hu/product/home-fkkf-03-fkki-03-kit-fkk-bologna-beepitheto-elektromos-latvanykandallo-kerettel-sonoma-fkk-bologna-18058")</f>
        <v>0.0</v>
      </c>
      <c r="E2060" s="7" t="n">
        <f>HYPERLINK("https://www.somogyi.hu/data/img/product_main_images/small/18058.jpg","https://www.somogyi.hu/data/img/product_main_images/small/18058.jpg")</f>
        <v>0.0</v>
      </c>
      <c r="F2060" s="2" t="inlineStr">
        <is>
          <t>5999084960803</t>
        </is>
      </c>
      <c r="G2060" s="4" t="inlineStr">
        <is>
          <t>Hogyan varázsolhatja otthonát egy elegáns és funkcionális elektromos kandallóval? A Home FKK BOLOGNA egy beépíthető elektromos látványkandalló és egy keret, sonoma színben kiváló választás mindazok számára, akik egy modern, mégis otthonos hangulatú fűtőberendezést keresnek. 
Ez a készülék nemcsak esztétikai értéket ad otthonának, hanem praktikus funkcióival is hozzájárul a kényelemhez és a melegséghez. A kandalló álló elhelyezéssel rendelkezik, így könnyedén integrálható bármelyik helyiségbe. A készülék két fűtési fokozattal (1000 W és 2000 W) és beépített ventilátorral rendelkezik, amely biztosítja a hatékony hőelosztást az első kifújási ponton keresztül. A fényeffektek száma öt, így a LED fényforrás különböző hangulatokat teremt, akár fűtési funkció nélkül is. Az önállóan kapcsolható lángeffekt valósághű és meghitt látványt nyújt.
A Home FKK BOLOGNA programozhatósága heti programmal és ablaknyitás érzékeléssel rendelkezik, ami még kényelmesebbé és energiatakarékosabbá teszi a használatát. Az elektronikus termosztát lehetővé teszi a hőmérséklet pontos beállítását 15 °C és 30 °C között, így mindig az Ön igényeihez igazodik. A készülék fűtőteste fémből, kerete pedig laminált forgácslapból készült, amely sonoma színben kapható, így elegánsan illeszkedik otthona berendezéséhez. Az ideális helyiségméret 30 m², a kandalló zajszintje pedig mindössze 50 dB(A), ami biztosítja a csendes működést.
A termék méretei 96,5 x 76,5 x 27,5 cm, a tápkábel hossza pedig 1,5 m. A tápellátás 230 V~ / 50 Hz, a távirányító tápellátása pedig 2 x AAA elem (nem tartozék). Fontos megjegyezni, hogy a készülék nem alkalmas fürdőszobai telepítésre.
Ne várjon tovább! Szerezze be most a Home FKK Bologna beépíthető elektromos látványkandallót kerettel, sonoma színben, és varázsolja otthonát még meghittebbé és kényelmesebbé!</t>
        </is>
      </c>
    </row>
    <row r="2061">
      <c r="A2061" s="3" t="inlineStr">
        <is>
          <t>FKK 17</t>
        </is>
      </c>
      <c r="B2061" s="2" t="inlineStr">
        <is>
          <t>Home FKK 17 falra szerelhető elektromos látványkandalló, 1000W/2000W, heti program, távirányító, íves, fekete</t>
        </is>
      </c>
      <c r="C2061" s="1" t="n">
        <v>95990.0</v>
      </c>
      <c r="D2061" s="7" t="n">
        <f>HYPERLINK("https://www.somogyi.hu/product/home-fkk-17-falra-szerelheto-elektromos-latvanykandallo-1000w-2000w-heti-program-taviranyito-ives-fekete-fkk-17-16937","https://www.somogyi.hu/product/home-fkk-17-falra-szerelheto-elektromos-latvanykandallo-1000w-2000w-heti-program-taviranyito-ives-fekete-fkk-17-16937")</f>
        <v>0.0</v>
      </c>
      <c r="E2061" s="7" t="n">
        <f>HYPERLINK("https://www.somogyi.hu/data/img/product_main_images/small/16937.jpg","https://www.somogyi.hu/data/img/product_main_images/small/16937.jpg")</f>
        <v>0.0</v>
      </c>
      <c r="F2061" s="2" t="inlineStr">
        <is>
          <t>5999084949693</t>
        </is>
      </c>
      <c r="G2061" s="4" t="inlineStr">
        <is>
          <t>Szeretne egy modern és elegáns fűtési megoldást, amely egyszerre melegíti otthonát és varázslatos hangulatot teremt? A Home FKK 17 falra szerelhető elektromos látványkandalló tökéletes választás az Ön számára. 
Ez a kandalló szabályozható fényerejű és függetlenül kapcsolható lángeffekttel rendelkezik, amely azonnal meghitt atmoszférát varázsol bármely helyiségbe. Az edzett üveg előlap elegáns és stílusos megjelenést kölcsönöz, miközben a kandalló biztonságos működését is biztosítja. Az elektronikus termosztát és a heti programozási lehetőség révén mindig a kívánt hőmérsékletet és fűtési ciklust állíthatja be, így otthona mindig kellemesen meleg lesz. Az adaptív bekapcsolásszabályozás segítségével a készülék automatikusan alkalmazkodik az igényekhez, biztosítva az optimális komfortot. A két fűtési fokozat (1000 W / 2000 W) lehetővé teszi, hogy a fűtést az aktuális hőmérsékleti igényekhez igazítsa.
A felső kifújási pont egyenletes hőeloszlást garantál, míg minden funkció távirányítható, így a kandalló kezelése rendkívül kényelmes. A távirányító tápellátása 2 x 1,5 V (AAA) elemmel történik, amely nem tartozék. A túlmelegedés elleni védelem biztosítja, hogy a készülék mindig biztonságosan működjön. A Home FKK 17 mérete (88,5x48x13,5 cm) révén bármelyik helyiség központi elemévé válhat, elegáns és modern megjelenésével mindenkit elvarázsol.
Ne hagyja ki ezt a különleges lehetőséget, válassza a Home FKK 17 falra szerelhető elektromos látványkandallót, és varázsolja otthonát melegebbé és stílusosabbá – rendelje meg most, és élvezze a meghitt hangulatot minden nap!</t>
        </is>
      </c>
    </row>
    <row r="2062">
      <c r="A2062" s="3" t="inlineStr">
        <is>
          <t>FKK 14</t>
        </is>
      </c>
      <c r="B2062" s="2" t="inlineStr">
        <is>
          <t>Home FKK 14 szabadon álló elektromos kandalló, 1000W/2000W, fekete</t>
        </is>
      </c>
      <c r="C2062" s="1" t="n">
        <v>55490.0</v>
      </c>
      <c r="D2062" s="7" t="n">
        <f>HYPERLINK("https://www.somogyi.hu/product/home-fkk-14-szabadon-allo-elektromos-kandallo-1000w-2000w-fekete-fkk-14-16936","https://www.somogyi.hu/product/home-fkk-14-szabadon-allo-elektromos-kandallo-1000w-2000w-fekete-fkk-14-16936")</f>
        <v>0.0</v>
      </c>
      <c r="E2062" s="7" t="n">
        <f>HYPERLINK("https://www.somogyi.hu/data/img/product_main_images/small/16936.jpg","https://www.somogyi.hu/data/img/product_main_images/small/16936.jpg")</f>
        <v>0.0</v>
      </c>
      <c r="F2062" s="2" t="inlineStr">
        <is>
          <t>5999084949686</t>
        </is>
      </c>
      <c r="G2062" s="4" t="inlineStr">
        <is>
          <t>Egy stílusos és hatékony megoldást keres a hideg téli estékre? A Home FKK 14 szabadon álló elektromos kandalló minden otthonba tökéletes választás. 
Ez az elegáns készülék két fűtési fokozattal rendelkezik (1000 W / 2000 W), így Ön könnyedén beállíthatja a kívánt hőmérsékletet, hogy otthonát mindig kellemesen melegnek érezze. A mechanikus termosztát egyszerű kezelést biztosít, lehetővé téve a pontos hőmérséklet-szabályozást.
Az alsó kifújási pont egyenletes hőeloszlást garantál, amely optimális komfortot nyújt minden helyiségben. Az önállóan is kapcsolható lángeffekt látványos, élethű lángokat vetít, amelyek meghitt, barátságos hangulatot teremtenek. A készülék túlmelegedés elleni védelemmel is fel van szerelve, így biztos lehet abban, hogy a kandalló mindig biztonságosan működik.
A Home FKK 14 elektromos kandalló kompakt mérete (∅41x65 cm) révén bárhol könnyedén elhelyezhető otthonában, legyen az nappali, hálószoba vagy akár dolgozószoba. Ez a stílusos kandalló nem csak funkcionális, hanem esztétikai értéket is hozzáad otthona bármely helyiségéhez.
Ne habozzon, válassza a Home FKK 14 elektromos kandallót, és tegye otthonát melegebbé és meghittebbé – rendeljen most, és élvezze a komfortot és eleganciát minden nap!</t>
        </is>
      </c>
    </row>
    <row r="2063">
      <c r="A2063" s="3" t="inlineStr">
        <is>
          <t>FKK 15</t>
        </is>
      </c>
      <c r="B2063" s="2" t="inlineStr">
        <is>
          <t>Home FKK 15 szabadon álló elektromos kandalló, 1000W/2000W, fekete</t>
        </is>
      </c>
      <c r="C2063" s="1" t="n">
        <v>32890.0</v>
      </c>
      <c r="D2063" s="7" t="n">
        <f>HYPERLINK("https://www.somogyi.hu/product/home-fkk-15-szabadon-allo-elektromos-kandallo-1000w-2000w-fekete-fkk-15-15976","https://www.somogyi.hu/product/home-fkk-15-szabadon-allo-elektromos-kandallo-1000w-2000w-fekete-fkk-15-15976")</f>
        <v>0.0</v>
      </c>
      <c r="E2063" s="7" t="n">
        <f>HYPERLINK("https://www.somogyi.hu/data/img/product_main_images/small/15976.jpg","https://www.somogyi.hu/data/img/product_main_images/small/15976.jpg")</f>
        <v>0.0</v>
      </c>
      <c r="F2063" s="2" t="inlineStr">
        <is>
          <t>5999084940102</t>
        </is>
      </c>
      <c r="G2063" s="4" t="inlineStr">
        <is>
          <t>Képzelje el, hogy egy hideg téli estén hazaér, és egy kellemesen meleg, barátságos otthon várja – nem lenne csodálatos? A Home FKK 15 szabadon álló elektromos kandalló tökéletes választás, hogy otthonát melegebbé és hangulatosabbá varázsolja. 
Ez a kandalló nem csupán a hőérzetet növeli, de egyedi, elegáns megjelenésével bármely szoba központi elemévé válhat. Az önállóan is kapcsolható lángeffekt varázslatos, élethű lángokat nyújt, melyek azonnal megteremtik a meghitt hangulatot. A készülék két fűtési fokozattal rendelkezik – 1000 W és 2000 W –, így az Ön igényeihez és a helyiség méretéhez igazíthatja a fűtést. A mechanikus termosztát egyszerű és precíz hőmérsékletszabályozást tesz lehetővé, hogy mindig az Ön számára legkellemesebb hőfokot érje el. 
Az automatikus kikapcsolási funkció gondoskodik a biztonságról, így nem kell aggódnia a túlmelegedés miatt. Az alsó kifújási pont biztosítja az egyenletes hőeloszlást a helyiségben.
A Home FKK 15 kandalló kompakt méretei (39,5x56,5x23 cm) lehetővé teszik, hogy szinte bárhol elhelyezhesse otthonában – legyen az a nappali, a hálószoba vagy akár a dolgozószoba. A kandalló modern és stílusos fekete színe minden berendezéshez illeszkedik, így harmonikusan beilleszthető bármilyen enteriőrbe.
Tegye otthonát még kényelmesebbé és hívogatóbbá a Home FKK 15 elektromos kandallóval – vásárolja meg most, és élvezze a melegséget és a meghittséget minden nap!</t>
        </is>
      </c>
    </row>
    <row r="2064">
      <c r="A2064" s="3" t="inlineStr">
        <is>
          <t>FKK 04</t>
        </is>
      </c>
      <c r="B2064" s="2" t="inlineStr">
        <is>
          <t>Home FKK 04 szabadon álló elektromos kandalló, panoráma, 925W/1850W, fekete</t>
        </is>
      </c>
      <c r="C2064" s="1" t="n">
        <v>91990.0</v>
      </c>
      <c r="D2064" s="7" t="n">
        <f>HYPERLINK("https://www.somogyi.hu/product/home-fkk-04-szabadon-allo-elektromos-kandallo-panorama-925w-1850w-fekete-fkk-04-16938","https://www.somogyi.hu/product/home-fkk-04-szabadon-allo-elektromos-kandallo-panorama-925w-1850w-fekete-fkk-04-16938")</f>
        <v>0.0</v>
      </c>
      <c r="E2064" s="7" t="n">
        <f>HYPERLINK("https://www.somogyi.hu/data/img/product_main_images/small/16938.jpg","https://www.somogyi.hu/data/img/product_main_images/small/16938.jpg")</f>
        <v>0.0</v>
      </c>
      <c r="F2064" s="2" t="inlineStr">
        <is>
          <t>5999084949709</t>
        </is>
      </c>
      <c r="G2064" s="4" t="inlineStr">
        <is>
          <t>Egy hideg estén hazaérve egy igazán meleg és hangulatos otthonra vágyik? A Home FKK 04 szabadon álló elektromos kandalló tökéletes választás, hogy otthonát melegebbé és barátságosabbá tegye. 
Ez az elegáns és praktikus kandalló két fűtési fokozattal (925 W / 1850 W) rendelkezik, így könnyedén alkalmazkodik az Ön igényeihez, és gyorsan kellemes hőmérsékletet teremt a helyiségben. A mechanikus termosztát lehetővé teszi a pontos hőmérséklet-szabályozást, hogy mindig a megfelelő komfortérzetet biztosítsa.
Az alsó kifújási pont egyenletes hőeloszlást garantál, míg az önállóan is kapcsolható lángeffekt lenyűgöző, élethű lángokat mutat, amelyek azonnal meghitt hangulatot árasztanak. A túlmelegedés elleni védelem biztosítja, hogy a készülék mindig biztonságosan működjön, így Ön nyugodtan élvezheti a kandalló melegét és látványát. A Home FKK 04 mérete (63,5x67x36 cm) révén könnyedén elhelyezhető bármely helyiségben, ahol stílusos megjelenésével a szoba központi elemévé válhat.
Ne habozzon, válassza a Home FKK 04 elektromos kandallót, és tegye otthonát még kellemesebbé és hívogatóbbá – rendelje meg most, és élvezze a melegséget és a hangulatot minden nap!</t>
        </is>
      </c>
    </row>
    <row r="2065">
      <c r="A2065" s="3" t="inlineStr">
        <is>
          <t>FKKF 01</t>
        </is>
      </c>
      <c r="B2065" s="2" t="inlineStr">
        <is>
          <t>Home FKKF 01 BORA BORA keret kandallóbetéthez - Fehér</t>
        </is>
      </c>
      <c r="C2065" s="1" t="n">
        <v>83890.0</v>
      </c>
      <c r="D2065" s="7" t="n">
        <f>HYPERLINK("https://www.somogyi.hu/product/home-fkkf-01-bora-bora-keret-kandallobetethez-feher-fkkf-01-17866","https://www.somogyi.hu/product/home-fkkf-01-bora-bora-keret-kandallobetethez-feher-fkkf-01-17866")</f>
        <v>0.0</v>
      </c>
      <c r="E2065" s="7" t="n">
        <f>HYPERLINK("https://www.somogyi.hu/data/img/product_main_images/small/17866.jpg","https://www.somogyi.hu/data/img/product_main_images/small/17866.jpg")</f>
        <v>0.0</v>
      </c>
      <c r="F2065" s="2" t="inlineStr">
        <is>
          <t>5999084958886</t>
        </is>
      </c>
      <c r="G2065" s="4" t="inlineStr">
        <is>
          <t>Szeretné, hogy otthonában egy elegáns kandalló legyen a központi elem, de nem akar bonyolult beépítést? A Home FKKF 01 BORA BORA keret ideális választás az Ön számára! 
Ez a keret kifejezetten a HOME FKKI 03 beépíthető látványkandalló-betéthez készült, amely külön megvásárolható. Az anyaga laminált fehér forgácslap, amely modern és letisztult megjelenést kölcsönöz minden helyiségnek. A BORA BORA keret mérete (95x80x26,5 cm) lehetővé teszi, hogy a kandallóbetét tökéletesen illeszkedjen, így egy elegáns és stílusos kandallót varázsolhat otthonába.
Ez a keret nemcsak esztétikailag vonzó, hanem könnyen telepíthető is, így gyorsan és egyszerűen létrehozhat egy gyönyörű kandallóközpontot nappalijában vagy bármelyik másik helyiségben. A laminált fehér forgácslap anyag hosszú élettartamot és tartósságot biztosít, így sok éven át élvezheti a kandalló látványát és hangulatát.
Ne habozzon, válassza a BORA BORA keretet, és tegye otthonát még vonzóbbá és meghittebbé – rendelje meg most, és varázsoljon eleganciát és melegséget otthonába!</t>
        </is>
      </c>
    </row>
    <row r="2066">
      <c r="A2066" s="3" t="inlineStr">
        <is>
          <t>FKKF06</t>
        </is>
      </c>
      <c r="B2066" s="2" t="inlineStr">
        <is>
          <t>Home FKKF06  keret kandallóbetéthez, Home FKKI 03 kandallóhoz, admiral dió</t>
        </is>
      </c>
      <c r="C2066" s="1" t="n">
        <v>123990.0</v>
      </c>
      <c r="D2066" s="7" t="n">
        <f>HYPERLINK("https://www.somogyi.hu/product/home-fkkf06-keret-kandallobetethez-home-fkki-03-kandallohoz-admiral-dio-fkkf06-19148","https://www.somogyi.hu/product/home-fkkf06-keret-kandallobetethez-home-fkki-03-kandallohoz-admiral-dio-fkkf06-19148")</f>
        <v>0.0</v>
      </c>
      <c r="E2066" s="7" t="n">
        <f>HYPERLINK("https://www.somogyi.hu/data/img/product_main_images/small/19148.jpg","https://www.somogyi.hu/data/img/product_main_images/small/19148.jpg")</f>
        <v>0.0</v>
      </c>
      <c r="F2066" s="2" t="inlineStr">
        <is>
          <t>5999084971410</t>
        </is>
      </c>
      <c r="G2066" s="4" t="inlineStr">
        <is>
          <t>Hogyan teheti otthonát még hangulatosabbá egy stílusos és praktikus kandallókeret segítségével? 
A Home FKKF06 keret kandallóbetéthez kifejezetten a Home FKKI 03 beépíthető látványkandallóhoz készült, hogy otthonában egyszerre teremtsen melegséget és eleganciát. Az admiral dió színű laminált forgácslapból készült keret nemcsak dekoratív, hanem tartós és praktikus megoldás is, amely tökéletesen illeszkedik bármely enteriőrbe.
Letisztult dizájn a klasszikus és modern otthonok számára 
A Home FKKF06 keret esztétikus megjelenésével és kompakt méreteivel (96,5 x 76,5 x 27,5 cm) ideális választás kisebb helyiségekbe is. Az admiral dió színű laminált forgácslap időtálló eleganciát kölcsönöz a bútordarabnak, miközben könnyen tisztítható felületet biztosít, ami különösen előnyös a mindennapi használat során.
Praktikus kialakítás és kompatibilitás 
Ez a keret kifejezetten a Home FKKI 03 kandallóbetéttel való használatra lett tervezve, így tökéletesen illeszkedik ahhoz, hogy a kandalló természetes és rendezett megjelenést nyújtson. Fontos megjegyezni, hogy a kandallóbetét nem része a csomagnak, de a keret kialakítása lehetővé teszi annak egyszerű beépítését és stabil elhelyezését.
Egyszerű telepítés és tartós anyaghasználat 
A laminált forgácslap alapanyag biztosítja a keret tartósságát és hosszú élettartamát. A könnyű szerkezet megkönnyíti a telepítést, ugyanakkor elég masszív ahhoz, hogy stabilan tartsa a kandallóbetétet. A praktikus méretek révén a keret kis helyet foglal, miközben maximális hatást ér el a helyiség hangulatának növelésében.
Miért válassza a Home FKKF06 keretet? 
– Esztétikus, admiral dió színű kialakítás, amely minden enteriőrhöz illeszkedik. 
– Tartós laminált forgácslap anyag a hosszú élettartam érdekében. 
– Praktikus méretek, amelyek helytakarékos megoldást kínálnak. 
– Kifejezetten a Home FKKI 03 kandallóbetéthez tervezve. 
– Könnyű telepítés és stabil használat.
Teremtsen melegséget és stílust otthonában a Home FKKF06 kerettel! Rendelje meg most, és varázsolja még hangulatosabbá nappaliját vagy hálószobáját egy modern és praktikus kandallóval!</t>
        </is>
      </c>
    </row>
    <row r="2067">
      <c r="A2067" s="3" t="inlineStr">
        <is>
          <t>FKK MILANO</t>
        </is>
      </c>
      <c r="B2067" s="2" t="inlineStr">
        <is>
          <t>Home FKKF 02 + FKKI 03 KIT FKK Milano beépíthető elektromos látványkandalló kerettel, bükk</t>
        </is>
      </c>
      <c r="C2067" s="1" t="n">
        <v>183990.0</v>
      </c>
      <c r="D2067" s="7" t="n">
        <f>HYPERLINK("https://www.somogyi.hu/product/home-fkkf-02-fkki-03-kit-fkk-milano-beepitheto-elektromos-latvanykandallo-kerettel-bukk-fkk-milano-18057","https://www.somogyi.hu/product/home-fkkf-02-fkki-03-kit-fkk-milano-beepitheto-elektromos-latvanykandallo-kerettel-bukk-fkk-milano-18057")</f>
        <v>0.0</v>
      </c>
      <c r="E2067" s="7" t="n">
        <f>HYPERLINK("https://www.somogyi.hu/data/img/product_main_images/small/18057.jpg","https://www.somogyi.hu/data/img/product_main_images/small/18057.jpg")</f>
        <v>0.0</v>
      </c>
      <c r="F2067" s="2" t="inlineStr">
        <is>
          <t>5999084960797</t>
        </is>
      </c>
      <c r="G2067" s="4" t="inlineStr">
        <is>
          <t>Az FKK MILANO szabadon álló elektromos kandalló nem csak az otthon melegét biztosítja, de valósághű kidolgozásának köszönhetően a szoba látványossága lesz!
A kandalló kerete MDF anyagból készült, ami egy rendkívül stílusos és tartós választás. 
Az MDF keret kiválóan illeszkedik bármilyen lakberendezési stílushoz. 
Az elektromos kandalló fűtési funkció nélkül is használható, élethű farönk és lángeffektekkel megtévesztően valóságos tűzhatást nyújt, aminek fényerejét szabályozni tudja. 
1000W vagy 2000W fűtési fokozat közül választhat. 
A felmelegített levegő a készülék felső részén található nyíláson áramlik ki. 
Biztonságos használatot garantál, mivel túlmelegedés esetén automatikusan kikapcsol. 
Hasznos tulajdonságai az elektromos termosztát, a heti programozási lehetőség vagy az ablaknyitás-érzékelés. 
Tartozékként szállítjuk a hozzá tartozó távirányítót. 
Teremtsen igazán meghitt pillanatokat a hűvös időkben az FKK MILANO szabadon álló elektromos kandallónkkal!</t>
        </is>
      </c>
    </row>
    <row r="2068">
      <c r="A2068" s="3" t="inlineStr">
        <is>
          <t>FKKI 06</t>
        </is>
      </c>
      <c r="B2068" s="2" t="inlineStr">
        <is>
          <t>Home FKKI 06 beépíthető vagy falra szerelhető elektromos látványkandalló, 1000W/2000W, heti program, távirányító</t>
        </is>
      </c>
      <c r="C2068" s="1" t="n">
        <v>124990.0</v>
      </c>
      <c r="D2068" s="7" t="n">
        <f>HYPERLINK("https://www.somogyi.hu/product/home-fkki-06-beepitheto-vagy-falra-szerelheto-elektromos-latvanykandallo-1000w-2000w-heti-program-taviranyito-fkki-06-17784","https://www.somogyi.hu/product/home-fkki-06-beepitheto-vagy-falra-szerelheto-elektromos-latvanykandallo-1000w-2000w-heti-program-taviranyito-fkki-06-17784")</f>
        <v>0.0</v>
      </c>
      <c r="E2068" s="7" t="n">
        <f>HYPERLINK("https://www.somogyi.hu/data/img/product_main_images/small/17784.jpg","https://www.somogyi.hu/data/img/product_main_images/small/17784.jpg")</f>
        <v>0.0</v>
      </c>
      <c r="F2068" s="2" t="inlineStr">
        <is>
          <t>5999084958060</t>
        </is>
      </c>
      <c r="G2068" s="4" t="inlineStr">
        <is>
          <t>Szeretne egy modern és elegáns látványkandallót, amely nemcsak hangulatos, hanem praktikus is? A Home FKKI 06 elektromos látványkandalló tökéletes választás otthona stílusos kiegészítésére. 
Ez a kandalló beépíthető vagy falra szerelhető, így rugalmasan illeszthető a lakás bármely helyiségébe. A Home FKKI 06 valósághű izzó farönk és lángeffektje külön kapcsolható, így a látványt függetlenül élvezheti a fűtési funkcióktól. Két fűtési fokozattal rendelkezik (1000 W és 2000 W), valamint beépített ventilátorral, amely egyenletes hőelosztást biztosít. Az elektronikus termosztát és a programozhatóság lehetővé teszi a kényelmes és energiatakarékos működést. A beépített LED fényforrás (max 13 W) hosszú élettartamú és valósághű lángszínt biztosít, amely nem cserélhető.
A Home FKKI 06 alapanyaga fém és üveg, elegáns megjelenést biztosítva a kandallónak.
Ideális 30 m²-es helyiségek fűtésére, 50 dB(A) zajszinttel működik, így nem zavarja a nyugodt légkört. Fontos megjegyezni, hogy a készülék nem alkalmas fürdőszobai telepítésre.
A kandalló mérete 127 x 45 x 17 cm, a beépítési mérete pedig 118 x 43,5 cm, így könnyen illeszkedik a különböző helyiségekhez. A 1,5 m hosszú tápkábel elegendő rugalmasságot biztosít a telepítéshez, míg a távirányító tápellátása 2 x AAA elem (nem tartozék), ami kényelmes vezérlést tesz lehetővé.
További előnyök közé tartozik a választható lángszín, az automatikus bekapcsolásszabályozás és a túlmelegedés elleni védelem, amelyek garantálják a biztonságos és kényelmes használatot.
Ne habozzon! Szerezze be most a Home FKKI 06 elektromos látványkandallót, és varázsolja otthonát még meghittebbé és stílusosabbá!</t>
        </is>
      </c>
    </row>
    <row r="2069">
      <c r="A2069" s="3" t="inlineStr">
        <is>
          <t>FKK 10</t>
        </is>
      </c>
      <c r="B2069" s="2" t="inlineStr">
        <is>
          <t>Home FKK 10 szabadon álló elektromos kandalló, panoráma, 1000W/2000W, fehér, 8 tűztér világítási mód</t>
        </is>
      </c>
      <c r="C2069" s="1" t="n">
        <v>175990.0</v>
      </c>
      <c r="D2069" s="7" t="n">
        <f>HYPERLINK("https://www.somogyi.hu/product/home-fkk-10-szabadon-allo-elektromos-kandallo-panorama-1000w-2000w-feher-8-tuzter-vilagitasi-mod-fkk-10-17760","https://www.somogyi.hu/product/home-fkk-10-szabadon-allo-elektromos-kandallo-panorama-1000w-2000w-feher-8-tuzter-vilagitasi-mod-fkk-10-17760")</f>
        <v>0.0</v>
      </c>
      <c r="E2069" s="7" t="n">
        <f>HYPERLINK("https://www.somogyi.hu/data/img/product_main_images/small/17760.jpg","https://www.somogyi.hu/data/img/product_main_images/small/17760.jpg")</f>
        <v>0.0</v>
      </c>
      <c r="F2069" s="2" t="inlineStr">
        <is>
          <t>5999084957827</t>
        </is>
      </c>
      <c r="G2069" s="4" t="inlineStr">
        <is>
          <t>Szeretné, ha otthona egyszerre lenne meleg és varázslatos hangulatú? A Home FKK 10 szabadon álló elektromos kandalló az Ön tökéletes társa a hideg téli esték melegítésére és hangulatossá tételére. 
Ez a kandalló két fűtési fokozattal rendelkezik (1000 W és 2000 W), így könnyedén beállíthatja a kívánt hőmérsékletet. Az elektronikus termosztát és a heti programozási lehetőség lehetővé teszi, hogy előre meghatározza a fűtési ciklusokat, így mindig kellemes hőmérséklet fogadja otthonában. Különleges funkciója az ablaknyitás-érzékelés, amely automatikusan lekapcsolja a fűtést, ha nyitva van az ablak, így energiatakarékosan működik és növeli a biztonságot. Ez a kandalló sokoldalúan használható, hiszen falra szerelhető vagy szabadon álló kivitelben is felszerelhető. 
Az igazi varázslatot a 8 különböző tűztér világítási mód hozza el, melyekkel bármilyen hangulatot megteremthet otthonában. Az önállóan kapcsolható LED lángeffekt és a kiegészítő hangulatvilágítás pedig különleges atmoszférát biztosít minden alkalomra. A túlmelegedés elleni védelem garantálja, hogy a készülék mindig biztonságosan működjön, így Ön nyugodtan élvezheti a kandalló nyújtotta meleget és a lenyűgöző látványt. A Home FKK 10 mérete (112x45x30,5 cm) révén bármelyik helyiség központi eleme lehet, és elegáns megjelenésével mindenkit elvarázsol.
Ne hagyja ki ezt a különleges lehetőséget, válassza a Home FKK 10 elektromos kandallót, és varázsolja otthonát melegebbé és stílusosabbá – rendelje meg most, és élvezze a meghitt hangulatot minden nap!</t>
        </is>
      </c>
    </row>
    <row r="2070">
      <c r="A2070" s="3" t="inlineStr">
        <is>
          <t>FKK BORA BORA</t>
        </is>
      </c>
      <c r="B2070" s="2" t="inlineStr">
        <is>
          <t>Home FKKF 01 + FKKI 03 KIT FKK Bora Bora beépíthető elektromos látványkandalló kerettel, fehér</t>
        </is>
      </c>
      <c r="C2070" s="1" t="n">
        <v>162990.0</v>
      </c>
      <c r="D2070" s="7" t="n">
        <f>HYPERLINK("https://www.somogyi.hu/product/home-fkkf-01-fkki-03-kit-fkk-bora-bora-beepitheto-elektromos-latvanykandallo-kerettel-feher-fkk-bora-bora-17831","https://www.somogyi.hu/product/home-fkkf-01-fkki-03-kit-fkk-bora-bora-beepitheto-elektromos-latvanykandallo-kerettel-feher-fkk-bora-bora-17831")</f>
        <v>0.0</v>
      </c>
      <c r="E2070" s="7" t="n">
        <f>HYPERLINK("https://www.somogyi.hu/data/img/product_main_images/small/17831.jpg","https://www.somogyi.hu/data/img/product_main_images/small/17831.jpg")</f>
        <v>0.0</v>
      </c>
      <c r="F2070" s="2" t="inlineStr">
        <is>
          <t>5999084958534</t>
        </is>
      </c>
      <c r="G2070" s="4" t="inlineStr">
        <is>
          <t>Gondolta volna, hogy otthonában is élvezheti a kandalló nyújtotta meghittséget anélkül, hogy füsttel és korommal kellene küzdenie? A Home FKK BORA BORA beépíthető elektromos látványkandalló és keret kiváló választás minden modern otthon számára. 
Az álló elhelyezésű kandalló elegáns fehér keretével bármilyen lakberendezési stílushoz illeszkedik. Ez a látványkandalló két fűtési fokozattal rendelkezik (1000 W és 2000 W), amelyek segítségével könnyedén szabályozhatja az ideális hőmérsékletet a 15 °C és 30 °C közötti tartományban. Az első kifújási pontnál elhelyezett ventilátor biztosítja a hatékony hőeloszlást, míg az elektronikus termosztát segítségével pontosan beállíthatja a kívánt hőmérsékletet.
A LED fényforrással felszerelt készülék öt különböző fényeffektet kínál, így mindig a megfelelő hangulatot teremtheti meg otthonában. Az önállóan kapcsolható lángeffekt révén bármikor élvezheti a tűz látványát, akár fűtés nélkül is. A heti programozhatóság és az ablaknyitás érzékelés további kényelmi funkciókat nyújtanak, hogy mindig otthonának megfelelően használhassa a kandallót.
A Home FKK BORA BORA ideális 30 m²-es helyiségek fűtésére, zajszintje pedig mindössze 50 dB(A), így működése csendes és zavarmentes. A laminált forgácslap keret és a fém fűtőtest garantálja a tartósságot és a minőséget. A távirányítóval egyszerűen vezérelheti a készüléket, amely 230 V-os tápellátással működik, és 1,5 méter hosszú tápkábellel rendelkezik. A távirányító tápellátása két AAA elemmel történik, amelyek nem tartozékok. A kandalló mérete 95 x 80 x 26,5 cm.
Ne várjon tovább, hozza el otthonába a kandalló nyújtotta melegséget és hangulatot még ma!</t>
        </is>
      </c>
    </row>
    <row r="2071">
      <c r="A2071" s="3" t="inlineStr">
        <is>
          <t>FKK 3000 WIFI</t>
        </is>
      </c>
      <c r="B2071" s="2" t="inlineStr">
        <is>
          <t>Home FKK 3000 WIFI fali smart elektromos kandalló, 1000W/2000W, heti program, távirányító, edzett üveg előlap, fekete</t>
        </is>
      </c>
      <c r="C2071" s="1" t="n">
        <v>103990.0</v>
      </c>
      <c r="D2071" s="7" t="n">
        <f>HYPERLINK("https://www.somogyi.hu/product/home-fkk-3000-wifi-fali-smart-elektromos-kandallo-1000w-2000w-heti-program-taviranyito-edzett-uveg-elolap-fekete-fkk-3000-wifi-16116","https://www.somogyi.hu/product/home-fkk-3000-wifi-fali-smart-elektromos-kandallo-1000w-2000w-heti-program-taviranyito-edzett-uveg-elolap-fekete-fkk-3000-wifi-16116")</f>
        <v>0.0</v>
      </c>
      <c r="E2071" s="7" t="n">
        <f>HYPERLINK("https://www.somogyi.hu/data/img/product_main_images/small/16116.jpg","https://www.somogyi.hu/data/img/product_main_images/small/16116.jpg")</f>
        <v>0.0</v>
      </c>
      <c r="F2071" s="2" t="inlineStr">
        <is>
          <t>5999084941482</t>
        </is>
      </c>
      <c r="G2071" s="4" t="inlineStr">
        <is>
          <t>Gondolkodott már azon, hogyan varázsolhatna otthonába modern eleganciát és kellemes meleget egyszerre? A Home FKK 3000 WIFI fali smart elektromos kandalló a tökéletes megoldás az Ön számára! 
Ez a készülék nemcsak stílusos és praktikus, de innovatív is, hiszen okostelefonos alkalmazással távolról is vezérelhető otthoni Wi-Fi környezetben. Az edzett üveg előlap modern megjelenést biztosít, míg a változtatható színű, önállóan is használható LED lángeffekt varázslatos hangulatot teremt bármely helyiségben. A kandalló két fűtési fokozattal rendelkezik (1000 W / 2000 W), így könnyedén beállíthatja a kívánt hőmérsékletet. Az elektronikus termosztát és a heti program lehetővé teszi a precíz hőmérséklet-szabályozást és az előre tervezett fűtési ciklusokat. 
Az ablaknyitás-érzékelő funkció azonnal lekapcsolja a készüléket, ha nyitva van az ablak, így energiát takarít meg és növeli a biztonságot. A Home FKK 3000 WIFI kandalló automatikus kikapcsolási funkcióval rendelkezik túlmelegedés esetén, így mindig biztonságosan működik. Minden funkció távirányítóval vagy okostelefonnal szabályozható, így rendkívül kényelmesen kezelhető. A felső kifújási pont biztosítja az egyenletes hőeloszlást, míg a készülék kompakt mérete (100x50x13 cm) lehetővé teszi, hogy könnyedén illeszkedjen bármely helyiségbe.
Ne várjon tovább, válassza a Home FKK 3000 WIFI smart elektromos kandallót, és varázsolja otthonát melegebbé és elegánsabbá – rendeljen most, és élvezze a modern technológia és a meghitt hangulat kombinációját minden nap!</t>
        </is>
      </c>
    </row>
    <row r="2072">
      <c r="A2072" s="3" t="inlineStr">
        <is>
          <t>FKK PALERMO</t>
        </is>
      </c>
      <c r="B2072" s="2" t="inlineStr">
        <is>
          <t>Home FKKF 04 + FKKI 03 KIT FKK Palermo beépíthető elektromos látványkandalló kerettel, tölgy</t>
        </is>
      </c>
      <c r="C2072" s="1" t="n">
        <v>185990.0</v>
      </c>
      <c r="D2072" s="7" t="n">
        <f>HYPERLINK("https://www.somogyi.hu/product/home-fkkf-04-fkki-03-kit-fkk-palermo-beepitheto-elektromos-latvanykandallo-kerettel-tolgy-fkk-palermo-18059","https://www.somogyi.hu/product/home-fkkf-04-fkki-03-kit-fkk-palermo-beepitheto-elektromos-latvanykandallo-kerettel-tolgy-fkk-palermo-18059")</f>
        <v>0.0</v>
      </c>
      <c r="E2072" s="7" t="n">
        <f>HYPERLINK("https://www.somogyi.hu/data/img/product_main_images/small/18059.jpg","https://www.somogyi.hu/data/img/product_main_images/small/18059.jpg")</f>
        <v>0.0</v>
      </c>
      <c r="F2072" s="2" t="inlineStr">
        <is>
          <t>5999084960810</t>
        </is>
      </c>
      <c r="G2072" s="4" t="inlineStr">
        <is>
          <t>Az FKK PALERMO szabadon álló elektromos kandalló nem csak az otthon melegét biztosítja, de valósághű kidolgozásának köszönhetően a szoba látványossága lesz!
A kandalló kerete MDF anyagból készült, ami egy rendkívül stílusos és tartós választás. 
Az MDF keret kiválóan illeszkedik bármilyen lakberendezési stílushoz. 
Az elektromos kandalló fűtési funkció nélkül is használható, élethű farönk és lángeffektekkel megtévesztően valóságos tűzhatást nyújt, aminek fényerejét szabályozni tudja. 1000W vagy 2000W fűtési fokozat közül választhat. 
A felmelegített levegő a készülék felső részén található nyíláson áramlik ki. 
Biztonságos használatot garantál, mivel túlmelegedés esetén automatikusan kikapcsol. 
Hasznos tulajdonságai az elektromos termosztát, a heti programozási lehetőség vagy az ablaknyitás-érzékelés. 
Tartozékként szállítjuk a hozzá tartozó távirányítót. 
Teremtsen igazán meghitt pillanatokat a hűvös időkben az FKK PALERMO szabadon álló elektromos kandallónkkal!</t>
        </is>
      </c>
    </row>
    <row r="2073">
      <c r="A2073" s="3" t="inlineStr">
        <is>
          <t>FKKI 03</t>
        </is>
      </c>
      <c r="B2073" s="2" t="inlineStr">
        <is>
          <t>Home FKKI 03 beépíthető elektromos látványkandalló, 1000W/2000W, heti program, távirányító</t>
        </is>
      </c>
      <c r="C2073" s="1" t="n">
        <v>77990.0</v>
      </c>
      <c r="D2073" s="7" t="n">
        <f>HYPERLINK("https://www.somogyi.hu/product/home-fkki-03-beepitheto-elektromos-latvanykandallo-1000w-2000w-heti-program-taviranyito-fkki-03-16104","https://www.somogyi.hu/product/home-fkki-03-beepitheto-elektromos-latvanykandallo-1000w-2000w-heti-program-taviranyito-fkki-03-16104")</f>
        <v>0.0</v>
      </c>
      <c r="E2073" s="7" t="n">
        <f>HYPERLINK("https://www.somogyi.hu/data/img/product_main_images/small/16104.jpg","https://www.somogyi.hu/data/img/product_main_images/small/16104.jpg")</f>
        <v>0.0</v>
      </c>
      <c r="F2073" s="2" t="inlineStr">
        <is>
          <t>5999084941369</t>
        </is>
      </c>
      <c r="G2073" s="4" t="inlineStr">
        <is>
          <t>Hogyan teremthet meghitt hangulatot otthonában egy modern látványkandallóval? A Home FKKI 03 beépíthető elektromos látványkandalló tökéletes megoldás mindazok számára, akik otthonukat egy stílusos és praktikus fűtőberendezéssel szeretnék feldobni. 
Ez a készülék önállóan is használható, valósághű lángeffektje pedig varázslatos légkört teremt bármely helyiségben. A Home FKKI 03 két fűtési fokozattal rendelkezik (1000 W és 2000 W), így könnyedén szabályozhatja az optimális hőmérsékletet. Az elektronikus termosztát és a heti programozási lehetőség biztosítja a kényelmet és az energiatakarékosságot. Az ablaknyitás-érzékelés automatikusan kikapcsolja a készüléket, ha hirtelen lehűlést érzékel, így garantálva a hatékonyságot és a biztonságot.
A kandalló minden funkciója távirányítható, ami maximális kényelmet nyújt. Az első kifújási pontnak köszönhetően a meleg levegő egyenletesen oszlik el a helyiségben. A túlmelegedés elleni automatikus kikapcsolás további védelmet biztosít, így Ön nyugodtan élvezheti a készülék nyújtotta előnyöket.
A Home FKKI 03 méretei 60 x 44 x 20 cm, ami lehetővé teszi, hogy szinte bármely helyiségben elhelyezhető legyen. Fontos megjegyezni, hogy a készülék nem alkalmas háztartási helyiség megvilágítására, azonban fűtési és látványkandalló funkciói lenyűgözőek.
Ne habozzon! Szerezze be most a Home FKKI 03 beépíthető elektromos látványkandallót, és élvezze otthona melegét és hangulatát!</t>
        </is>
      </c>
    </row>
    <row r="2074">
      <c r="A2074" s="3" t="inlineStr">
        <is>
          <t>FKKF05</t>
        </is>
      </c>
      <c r="B2074" s="2" t="inlineStr">
        <is>
          <t>Home FKKF05 sarokkeret kandallóbetéthez, Home FKKI 03 kandallóhoz, fehér</t>
        </is>
      </c>
      <c r="C2074" s="1" t="n">
        <v>93190.0</v>
      </c>
      <c r="D2074" s="7" t="n">
        <f>HYPERLINK("https://www.somogyi.hu/product/home-fkkf05-sarokkeret-kandallobetethez-home-fkki-03-kandallohoz-feher-fkkf05-18857","https://www.somogyi.hu/product/home-fkkf05-sarokkeret-kandallobetethez-home-fkki-03-kandallohoz-feher-fkkf05-18857")</f>
        <v>0.0</v>
      </c>
      <c r="E2074" s="7" t="n">
        <f>HYPERLINK("https://www.somogyi.hu/data/img/product_main_images/small/18857.jpg","https://www.somogyi.hu/data/img/product_main_images/small/18857.jpg")</f>
        <v>0.0</v>
      </c>
      <c r="F2074" s="2" t="inlineStr">
        <is>
          <t>5999084968632</t>
        </is>
      </c>
      <c r="G2074" s="4" t="inlineStr">
        <is>
          <t>Hogyan teheti otthonát még hangulatosabbá egy stílusos kandallóval? A Home FKKF05 sarokkeret tökéletes választás a Home FKKI 03 beépíthető látványkandalló-betéttel kombinálva, hogy otthona melegséget és eleganciát sugározzon. 
Ez a fehér színű, laminált forgácslapból készült sarokkeret elegáns megjelenést kölcsönöz bármely helyiségnek, miközben praktikus és tartós megoldást kínál.
A Home FKKF05 sarokkeret mérete 95 x 80 x 54 cm, így ideális kisebb és nagyobb terekbe egyaránt, könnyedén illeszkedve a belső tér kialakításához. Fontos megjegyezni, hogy a beépíthető kandallóbetét nem része a terméknek, így azt külön kell megvásárolni.
A Home FKKF05 sarokkeret nemcsak esztétikailag vonzó, hanem a laminált forgácslap anyagának köszönhetően könnyen tisztítható és karbantartható is. A minőségi anyagok biztosítják a hosszú élettartamot és a megbízható használatot, hogy Ön hosszú éveken át élvezhesse a kandalló nyújtotta kényelmet és meghittséget.
Ne habozzon! Válassza a Home FKKF05 sarokkeretet, és varázsolja otthonát még hangulatosabbá és hívogatóbbá!</t>
        </is>
      </c>
    </row>
    <row r="2075">
      <c r="A2075" s="3" t="inlineStr">
        <is>
          <t>FKK 18</t>
        </is>
      </c>
      <c r="B2075" s="2" t="inlineStr">
        <is>
          <t>Home FKK 18 szabadon álló elektromos kandalló, 1000W/2000W, fehér</t>
        </is>
      </c>
      <c r="C2075" s="1" t="n">
        <v>131990.0</v>
      </c>
      <c r="D2075" s="7" t="n">
        <f>HYPERLINK("https://www.somogyi.hu/product/home-fkk-18-szabadon-allo-elektromos-kandallo-1000w-2000w-feher-fkk-18-15863","https://www.somogyi.hu/product/home-fkk-18-szabadon-allo-elektromos-kandallo-1000w-2000w-feher-fkk-18-15863")</f>
        <v>0.0</v>
      </c>
      <c r="E2075" s="7" t="n">
        <f>HYPERLINK("https://www.somogyi.hu/data/img/product_main_images/small/15863.jpg","https://www.somogyi.hu/data/img/product_main_images/small/15863.jpg")</f>
        <v>0.0</v>
      </c>
      <c r="F2075" s="2" t="inlineStr">
        <is>
          <t>5999084938970</t>
        </is>
      </c>
      <c r="G2075" s="4" t="inlineStr">
        <is>
          <t>Egy elegáns és hatékony fűtési megoldást keres otthonába, amely egyúttal meghitt hangulatot is teremt? A Home FKK 18 szabadon álló elektromos kandalló tökéletes választás. 
Ez a kandalló nemcsak hatékony, hanem esztétikailag is lenyűgöző, fehér MDF bútorlapból készült, így bármely enteriőrbe könnyedén illeszkedik. Az önállóan is használható, valósághű izzó fahasáb és lángeffekt szabályozható fényerővel rendelkezik, így mindig a megfelelő hangulatot teremtheti meg otthonában. A készülék két fűtési fokozata (1000 W / 2000 W) lehetővé teszi, hogy az Ön igényeinek megfelelően állítsa be a kívánt hőmérsékletet. Az elektronikus termosztát pontos hőmérséklet-szabályozást biztosít, míg a heti program és az adaptív bekapcsolásszabályozás a maximális kényelmet szolgálja. 
Az automatikus kikapcsolás túlmelegedés esetén garantálja a biztonságot, így Ön nyugodtan élvezheti a kandalló nyújtotta meleget. Minden funkció távirányítható, így kényelmesen irányíthatja a készüléket a kanapéról vagy az ágyból. Az alsó kifújási pont egyenletes hőeloszlást biztosít, így minden szobában kellemes meleget teremt. A Home FKK 18 kandalló méretei (109 x 100 x 37 cm) és súlya (45 kg) biztosítják a stabil és impozáns megjelenést, bármely helyiségben is helyezi el.
Ne várjon tovább, válassza a Home FKK 18 elektromos kandallót, és tegye otthonát melegebbé és stílusosabbá – rendelje meg most, és élvezze a komfortot és a meghitt hangulatot minden nap!</t>
        </is>
      </c>
    </row>
    <row r="2076">
      <c r="A2076" s="3" t="inlineStr">
        <is>
          <t>FKKCALGARY</t>
        </is>
      </c>
      <c r="B2076" s="2" t="inlineStr">
        <is>
          <t>Home FKKF06 + FKKI 03 KIT FKK CALGARY beépíthető elektromos látványkandalló kerettel, admiral dió</t>
        </is>
      </c>
      <c r="C2076" s="1" t="n">
        <v>199990.0</v>
      </c>
      <c r="D2076" s="7" t="n">
        <f>HYPERLINK("https://www.somogyi.hu/product/home-fkkf06-fkki-03-kit-fkk-calgary-beepitheto-elektromos-latvanykandallo-kerettel-admiral-dio-fkkcalgary-19149","https://www.somogyi.hu/product/home-fkkf06-fkki-03-kit-fkk-calgary-beepitheto-elektromos-latvanykandallo-kerettel-admiral-dio-fkkcalgary-19149")</f>
        <v>0.0</v>
      </c>
      <c r="E2076" s="7" t="n">
        <f>HYPERLINK("https://www.somogyi.hu/data/img/product_main_images/small/19149.jpg","https://www.somogyi.hu/data/img/product_main_images/small/19149.jpg")</f>
        <v>0.0</v>
      </c>
      <c r="F2076" s="2" t="inlineStr">
        <is>
          <t>5999084971427</t>
        </is>
      </c>
      <c r="G2076" s="4" t="inlineStr">
        <is>
          <t>Hogyan varázsolhat otthonába melegséget és stílust egyszerre, kompromisszumok nélkül? 
A Home FKKF06 + FKKI 03 KIT FKK CALGARY beépíthető elektromos látványkandalló egy modern és elegáns megoldás, amely az otthon melegét és kényelmét hozza el Önnek. Az admiral dió színű laminált forgácslap keret és a valósághű LED lángeffektus tökéletesen illeszkedik bármely belső térhez, miközben az innovatív fűtési funkciók és biztonsági jellemzők a mindennapi kényelmet és nyugalmat szolgálják.
Valósághű látvány és elegáns megjelenés 
A Calgary kandalló valósághű izzó fahasábokkal és LED lángeffektussal nyújt autentikus kandallóélményt, amely fűtési funkció nélkül is önállóan használható dekorációként. Az admiral dió színű keret laminált forgácslapból készült, amely tartós, ugyanakkor könnyen tisztítható. A modern dizájn és kompakt méretek (96,5 x 76,5 x 27,5 cm) lehetővé teszik, hogy a kandalló bármely helyiségben otthonosan mutasson.
Hatékony fűtési funkciók és energiatakarékosság 
A készülék két fűtési fokozattal (1000 W és 2000 W) rendelkezik, így gyorsan és hatékonyan melegíti fel a helyiséget az igényeinek megfelelően. Az elektronikus termosztát és a heti programozhatóság biztosítja az energiatakarékos működést és az állandó komfortot. Az ablaknyitás-érzékelő funkció automatikusan kikapcsolja a fűtést, ha hirtelen hőmérsékletváltozást érzékel, így elkerülve az energiapazarlást.
Maximális biztonság és egyszerű vezérlés 
A beépített túlmelegedés elleni védelem garantálja a biztonságos használatot, míg az automatikus kikapcsolás megnyugtató megoldást nyújt. Az összes funkció távirányítható, így kényelmesen, akár a kanapéról vezérelheti a kandallót. Az első kifújási pont biztosítja, hogy a meleg levegő hatékonyan áramoljon a helyiségbe, miközben a kandalló csendesen működik.
Miért válassza a Home FKKF06 + FKKI 03 KIT FKK CALGARY kandallót? 
– Modern és elegáns dizájn, amely bármely belső térhez illeszkedik. 
– Kettős funkció: dekoratív látványelem és hatékony fűtési megoldás. 
– Innovatív biztonsági funkciók, beleértve a túlmelegedés elleni védelmet. 
– Könnyen kezelhető, távirányítható kialakítás. 
– Energiatakarékos működés elektronikus termosztáttal és programozható beállításokkal.
Változtassa otthonát a nyugalom és melegség szigetévé a Home FKKF06 + FKKI 03 KIT FKK CALGARY látványkandallóval! Rendelje meg most, és élvezze a stílusos megjelenés és a korszerű technológia tökéletes kombinációját!</t>
        </is>
      </c>
    </row>
    <row r="2077">
      <c r="A2077" s="3" t="inlineStr">
        <is>
          <t>FKKF 04</t>
        </is>
      </c>
      <c r="B2077" s="2" t="inlineStr">
        <is>
          <t>Home FKKF 04 PALERMO keret kandallóbetéthez – Freya tölgy</t>
        </is>
      </c>
      <c r="C2077" s="1" t="n">
        <v>105990.0</v>
      </c>
      <c r="D2077" s="7" t="n">
        <f>HYPERLINK("https://www.somogyi.hu/product/home-fkkf-04-palermo-keret-kandallobetethez-freya-tolgy-fkkf-04-17869","https://www.somogyi.hu/product/home-fkkf-04-palermo-keret-kandallobetethez-freya-tolgy-fkkf-04-17869")</f>
        <v>0.0</v>
      </c>
      <c r="E2077" s="7" t="n">
        <f>HYPERLINK("https://www.somogyi.hu/data/img/product_main_images/small/17869.jpg","https://www.somogyi.hu/data/img/product_main_images/small/17869.jpg")</f>
        <v>0.0</v>
      </c>
      <c r="F2077" s="2" t="inlineStr">
        <is>
          <t>5999084958916</t>
        </is>
      </c>
      <c r="G2077" s="4" t="inlineStr">
        <is>
          <t>Szeretné, ha otthona melegebb és elegánsabb lenne egy lenyűgöző kandallóval? A Home FKKF 04 PALERMO keret a tökéletes megoldás, hogy otthonába varázsolja a kandalló meghitt hangulatát! 
Ez a Freya tölgy színű keret kifejezetten a HOME FKKI 03 beépíthető látványkandalló-betéttel való használatra készült, amely külön megvásárolható. A laminált forgácslap anyag tartós és könnyen karbantartható, miközben természetes és elegáns megjelenést biztosít. A keret méretei 92,5x76x25 cm, így ideális választás minden nappaliba vagy hálószobába.
Ez a stílusos keret bármely helyiség központi eleme lehet, modern és esztétikus kialakítása révén. Egyszerűen telepíthető, így gyorsan és problémamentesen átalakíthatja otthonát egy barátságos, meghitt környezetté. A Home FKKF 04 PALERMO keret elegáns dizájnja tökéletesen kiegészíti a beépíthető látványkandalló-betétet, így otthona mindig kellemes és hívogató lesz.
Ne habozzon, válassza a Home FKKF 04 PALERMO keretet, és tegye otthonát még vonzóbbá és melegebbé – rendelje meg most, és élvezze a kandalló nyújtotta meghitt hangulatot minden nap!</t>
        </is>
      </c>
    </row>
    <row r="2078">
      <c r="A2078" s="3" t="inlineStr">
        <is>
          <t>FKK 24</t>
        </is>
      </c>
      <c r="B2078" s="2" t="inlineStr">
        <is>
          <t>Home FKK 24 falra szerelhető vagy talpra állítható elektromos látványkandalló, 900W/1800W, heti program, távirányító, fekete</t>
        </is>
      </c>
      <c r="C2078" s="1" t="n">
        <v>127990.0</v>
      </c>
      <c r="D2078" s="7" t="n">
        <f>HYPERLINK("https://www.somogyi.hu/product/home-fkk-24-falra-szerelheto-vagy-talpra-allithato-elektromos-latvanykandallo-900w-1800w-heti-program-taviranyito-fekete-fkk-24-17759","https://www.somogyi.hu/product/home-fkk-24-falra-szerelheto-vagy-talpra-allithato-elektromos-latvanykandallo-900w-1800w-heti-program-taviranyito-fekete-fkk-24-17759")</f>
        <v>0.0</v>
      </c>
      <c r="E2078" s="7" t="n">
        <f>HYPERLINK("https://www.somogyi.hu/data/img/product_main_images/small/17759.jpg","https://www.somogyi.hu/data/img/product_main_images/small/17759.jpg")</f>
        <v>0.0</v>
      </c>
      <c r="F2078" s="2" t="inlineStr">
        <is>
          <t>5999084957810</t>
        </is>
      </c>
      <c r="G2078" s="4" t="inlineStr">
        <is>
          <t>Egy sokoldalú, elegáns fűtési megoldást keres, amely otthonának stílusos kiegészítője is lehet? A Home FKK 24 falra szerelhető vagy talpra állítható elektromos látványkandalló mindkét igényének megfelel. 
Ez a kandalló falra szerelhető vagy szabadon álló kivitelben is használható, így rugalmasan elhelyezhető bármely helyiségben. Két fűtési fokozata (900 W és 1800 W) lehetővé teszi, hogy gyorsan és hatékonyan fűtse fel a szobát, az elektronikus termosztát és a heti program segítségével pedig előre beállíthatja a kívánt hőmérsékletet és fűtési ciklusokat.
Az ablaknyitás-érzékelés funkció automatikusan kikapcsolja a készüléket, ha nyitva van az ablak, így energiát takarít meg és biztosítja a hatékony működést. 
A szabályozható fényerő és az önállóan is kapcsolható LED lángeffekt lenyűgöző látványt nyújt, amely tökéletes hangulatot teremt minden alkalomra. A túlmelegedés elleni védelem garantálja a biztonságos működést, míg az edzett üveg előlap elegáns megjelenést kölcsönöz a kandallónak. A Home FKK 24 méretei falra szerelve (107 x 43,5 x 13 cm) és talpra állítva (107 x 50 x 24 cm) lehetővé teszik, hogy könnyedén illeszkedjen bármely helyiségbe, és stílusos megjelenésével mindenkit lenyűgözzön.
Ne várjon tovább, válassza a Home FKK 24 elektromos látványkandallót, és tegye otthonát melegebbé és meghittebbé – rendelje meg most, és élvezze a komfortot és eleganciát minden nap!</t>
        </is>
      </c>
    </row>
    <row r="2079">
      <c r="A2079" s="6" t="inlineStr">
        <is>
          <t xml:space="preserve">   Fűtés, Párátlanítás, Párásítás / Kerámia fűtőtest</t>
        </is>
      </c>
      <c r="B2079" s="6" t="inlineStr">
        <is>
          <t/>
        </is>
      </c>
      <c r="C2079" s="6" t="inlineStr">
        <is>
          <t/>
        </is>
      </c>
      <c r="D2079" s="6" t="inlineStr">
        <is>
          <t/>
        </is>
      </c>
      <c r="E2079" s="6" t="inlineStr">
        <is>
          <t/>
        </is>
      </c>
      <c r="F2079" s="6" t="inlineStr">
        <is>
          <t/>
        </is>
      </c>
      <c r="G2079" s="6" t="inlineStr">
        <is>
          <t/>
        </is>
      </c>
    </row>
    <row r="2080">
      <c r="A2080" s="3" t="inlineStr">
        <is>
          <t>FKF 42201</t>
        </is>
      </c>
      <c r="B2080" s="2" t="inlineStr">
        <is>
          <t>Home FKF 42201 fali elektromos ventilátoros fűtőtest, 1000W/2000W, heti program, távirányító, fehér</t>
        </is>
      </c>
      <c r="C2080" s="1" t="n">
        <v>22090.0</v>
      </c>
      <c r="D2080" s="7" t="n">
        <f>HYPERLINK("https://www.somogyi.hu/product/home-fkf-42201-fali-elektromos-ventilatoros-futotest-1000w-2000w-heti-program-taviranyito-feher-fkf-42201-16448","https://www.somogyi.hu/product/home-fkf-42201-fali-elektromos-ventilatoros-futotest-1000w-2000w-heti-program-taviranyito-feher-fkf-42201-16448")</f>
        <v>0.0</v>
      </c>
      <c r="E2080" s="7" t="n">
        <f>HYPERLINK("https://www.somogyi.hu/data/img/product_main_images/small/16448.jpg","https://www.somogyi.hu/data/img/product_main_images/small/16448.jpg")</f>
        <v>0.0</v>
      </c>
      <c r="F2080" s="2" t="inlineStr">
        <is>
          <t>5999084944803</t>
        </is>
      </c>
      <c r="G2080" s="4" t="inlineStr">
        <is>
          <t>Szeretne egy hatékony és stílusos fali fűtőtestet, amely gyorsan és egyenletesen melegíti fel otthonát? A Home FKF 42201 fali elektromos ventilátoros fűtőtest kiváló választás minden olyan otthon számára, ahol fontos a gyors és hatékony fűtés. 
Ez az elegáns, fehér színű készülék két fűtési fokozattal rendelkezik: 1000 W és 2000 W, így a hőmérsékletet könnyedén szabályozhatja az igényeinek megfelelően. A fali elhelyezésű fűtőtest kompakt méretének (42 x 16,5 x 11,5 cm) és könnyű súlyának (1,8 kg) köszönhetően helytakarékos megoldást kínál. A készülék távirányítóval vezérelhető, ami kényelmes használatot biztosít. A heti programozhatóság és az ablaknyitás érzékelés funkciók lehetővé teszik, hogy a fűtés mindig az Ön igényei szerint működjön, optimalizálva ezzel az energiafelhasználást. A fűtőtest 8 órás kikapcsolásidőzítéssel rendelkezik, amely növeli a kényelmet és biztonságot.
A Home FKF 42201 fűtőtest termosztáttal van felszerelve, amely lehetővé teszi a hőmérséklet pontos beállítását 18 °C és 45 °C között. A készülék ideális 30 m²-es helyiségek fűtésére, így közepes méretű szobákban is hatékonyan használható. A készülék zajszintje mindössze 60 dB(A), így csendesen működik, nem zavarva a mindennapi tevékenységeket. A 1,55 méter hosszú tápkábel és a 230 V~ / 50 Hz tápellátás biztosítja a rugalmas elhelyezést és a megbízható működést. Fontos megjegyezni, hogy a fűtőtest nem alkalmas fürdőszobai telepítésre.
Ne hagyja, hogy a hideg rontsa otthona kényelmét – rendelje meg a Home FKF 42201 fali elektromos ventilátoros fűtőtestet még ma, és élvezze a gyors és hatékony fűtést minden nap!</t>
        </is>
      </c>
    </row>
    <row r="2081">
      <c r="A2081" s="3" t="inlineStr">
        <is>
          <t>FK 51</t>
        </is>
      </c>
      <c r="B2081" s="2" t="inlineStr">
        <is>
          <t>Home FK 51 álló elektromos kerámia fűtőtest, 1000W/1500W, oszcillálás, mechanikus termosztát, fehér</t>
        </is>
      </c>
      <c r="C2081" s="1" t="n">
        <v>12490.0</v>
      </c>
      <c r="D2081" s="7" t="n">
        <f>HYPERLINK("https://www.somogyi.hu/product/home-fk-51-allo-elektromos-keramia-futotest-1000w-1500w-oszcillalas-mechanikus-termosztat-feher-fk-51-16934","https://www.somogyi.hu/product/home-fk-51-allo-elektromos-keramia-futotest-1000w-1500w-oszcillalas-mechanikus-termosztat-feher-fk-51-16934")</f>
        <v>0.0</v>
      </c>
      <c r="E2081" s="7" t="n">
        <f>HYPERLINK("https://www.somogyi.hu/data/img/product_main_images/small/16934.jpg","https://www.somogyi.hu/data/img/product_main_images/small/16934.jpg")</f>
        <v>0.0</v>
      </c>
      <c r="F2081" s="2" t="inlineStr">
        <is>
          <t>5999084949662</t>
        </is>
      </c>
      <c r="G2081" s="4" t="inlineStr">
        <is>
          <t>Kíváncsi, hogyan lehet egyszerűen és hatékonyan felmelegíteni otthona közepes méretű helyiségeit? A Home FK 51 álló elektromos kerámia fűtőtest ideális választás, ha gyors és hatékony fűtési megoldást keres otthona számára. 
Az elegáns, fehér színű készülék két fűtési fokozattal rendelkezik, 1000 W és 1500 W teljesítménnyel, így szinte bármilyen hőmérsékleti igényhez alkalmazkodik. Az álló elhelyezésű fűtőtest kompakt méretével (15 x 24 x 9 cm) és könnyű súlyával (2,5 kg) könnyedén elhelyezhető és áthelyezhető a lakás bármely pontján. A mechanikus termosztát segítségével egyszerűen beállíthatja a kívánt hőmérsékletet, míg a 70°-os oszcillálás biztosítja a meleg levegő egyenletes eloszlását a helyiségben. A készülék csak ventilátor üzemmóddal is rendelkezik, amely a melegebb hónapokban is hasznos lehet.
A Home FK 51 fűtőtest biztonságos használatát a túlmelegedés elleni védelem és a felbillenés esetén automatikus kikapcsolás garantálja. Az eszköz zajszintje mindössze 50 dB(A), így csendesen működik, nem zavarva a mindennapi tevékenységeket. Az ideális helyiségméret 23 m², így tökéletes választás közepes méretű szobák fűtésére. A készülék 230 V~ / 50 Hz tápellátással működik, 1,3 méter hosszú tápkábellel rendelkezik, és nem alkalmas fürdőszobai használatra.
Ne habozzon, válassza a Home FK 51 álló elektromos kerámia fűtőtestet, és élvezze otthonában a gyors, hatékony és biztonságos fűtést még ma!</t>
        </is>
      </c>
    </row>
    <row r="2082">
      <c r="A2082" s="3" t="inlineStr">
        <is>
          <t>FKF 56202</t>
        </is>
      </c>
      <c r="B2082" s="2" t="inlineStr">
        <is>
          <t>Home FKF 56202 fali ventilátoros fűtőtest, 1000W/2000W, heti program, távirányító, ezüst</t>
        </is>
      </c>
      <c r="C2082" s="1" t="n">
        <v>26390.0</v>
      </c>
      <c r="D2082" s="7" t="n">
        <f>HYPERLINK("https://www.somogyi.hu/product/home-fkf-56202-fali-ventilatoros-futotest-1000w-2000w-heti-program-taviranyito-ezust-fkf-56202-16447","https://www.somogyi.hu/product/home-fkf-56202-fali-ventilatoros-futotest-1000w-2000w-heti-program-taviranyito-ezust-fkf-56202-16447")</f>
        <v>0.0</v>
      </c>
      <c r="E2082" s="7" t="n">
        <f>HYPERLINK("https://www.somogyi.hu/data/img/product_main_images/small/16447.jpg","https://www.somogyi.hu/data/img/product_main_images/small/16447.jpg")</f>
        <v>0.0</v>
      </c>
      <c r="F2082" s="2" t="inlineStr">
        <is>
          <t>5999084944797</t>
        </is>
      </c>
      <c r="G2082" s="4" t="inlineStr">
        <is>
          <t>Szeretne egy elegáns és hatékony fali fűtőtestet, amelyet könnyedén programozhat és távirányítóval vezérelhet? A Home FKF 56202 fali ventilátoros fűtőtest kiváló választás minden modern otthon számára. 
Ez az elegáns ezüst színű készülék két fűtési fokozattal rendelkezik: 1000 W és 2000 W, amelyek lehetővé teszik a hőmérséklet igény szerinti beállítását. A fali elhelyezésű fűtőtest kompakt méretének (58,5 x 19,5 x 13 cm) és könnyű súlyának (3,1 kg) köszönhetően szinte bárhol elhelyezhető a lakásban. A készülék távirányítóval vezérelhető, ami kényelmes használatot biztosít. A heti programozhatóság és az ablaknyitás érzékelés funkciók lehetővé teszik, hogy a fűtést előre beállítsa és optimalizálja az energiafelhasználást. A készülék 8 órás kikapcsolásidőzítővel rendelkezik, amely további kényelmet biztosít.
A Home FKF 56202 fűtőtest csak ventilátor üzemmóddal és légterelés funkcióval is rendelkezik, így a melegebb hónapokban is hasznos lehet. A termosztát segítségével pontosan beállíthatja a kívánt hőmérsékletet 18 °C és 45 °C között, biztosítva az optimális komfortot. Az eszköz ideális 30 m²-es helyiségek fűtésére, zajszintje mindössze 55 dB(A), így csendesen működik. A készülék nem alkalmas fürdőszobai telepítésre. A tápkábel hossza 1,55 méter, és a 230 V~ / 50 Hz tápellátás biztosítja a megbízható működést. Az ezüst szín és a modern dizájn tökéletesen illeszkedik bármilyen lakberendezési stílushoz.
Ne hagyja ki ezt a lehetőséget, hogy otthonában mindig kellemes meleget biztosítson – rendelje meg a Home FKF 56202 fali ventilátoros fűtőtestet még ma, és élvezze a modern technológia nyújtotta kényelmet minden nap!</t>
        </is>
      </c>
    </row>
    <row r="2083">
      <c r="A2083" s="3" t="inlineStr">
        <is>
          <t>FK 52</t>
        </is>
      </c>
      <c r="B2083" s="2" t="inlineStr">
        <is>
          <t>Home FK 52 álló elektromos kerámia fűtőtest, 1200W/2000W, oszcillálás, kikapcsolás időzítő, fehér</t>
        </is>
      </c>
      <c r="C2083" s="1" t="n">
        <v>25490.0</v>
      </c>
      <c r="D2083" s="7" t="n">
        <f>HYPERLINK("https://www.somogyi.hu/product/home-fk-52-allo-elektromos-keramia-futotest-1200w-2000w-oszcillalas-kikapcsolas-idozito-feher-fk-52-17336","https://www.somogyi.hu/product/home-fk-52-allo-elektromos-keramia-futotest-1200w-2000w-oszcillalas-kikapcsolas-idozito-feher-fk-52-17336")</f>
        <v>0.0</v>
      </c>
      <c r="E2083" s="7" t="n">
        <f>HYPERLINK("https://www.somogyi.hu/data/img/product_main_images/small/17336.jpg","https://www.somogyi.hu/data/img/product_main_images/small/17336.jpg")</f>
        <v>0.0</v>
      </c>
      <c r="F2083" s="2" t="inlineStr">
        <is>
          <t>5999084953584</t>
        </is>
      </c>
      <c r="G2083" s="4" t="inlineStr">
        <is>
          <t>Szeretné megtalálni a tökéletes fűtőtestet, amely gyorsan és hatékonyan melegíti fel otthonát, miközben elegáns megjelenést kölcsönöz a helyiségnek? A Home FK 52 álló elektromos kerámia fűtőtest ideális választás mindazok számára, akik hatékony és gyors fűtést keresnek. 
Az elegáns fehér színű készülék két fűtési fokozattal rendelkezik, 1200 W és 2000 W teljesítménnyel, amelyek révén könnyedén szabályozhatja a helyiség hőmérsékletét. Az álló elhelyezésű fűtőtest kompakt méretének (23 x 64 x 23 cm) és könnyű súlyának (2,5 kg) köszönhetően bárhol könnyedén elhelyezhető. A Home FK 52 készülék praktikus 15 órás kikapcsolásidőzítő funkcióval rendelkezik, amely lehetővé teszi, hogy előre beállítsa a fűtés időtartamát, ezzel növelve a kényelmet és az energiatakarékosságot. A 70°-os oszcillálás biztosítja a meleg levegő egyenletes eloszlását a helyiségben, miközben a csak ventilátor üzemmód lehetővé teszi a készülék használatát a melegebb hónapokban is.
A készülék biztonságos használatát a túlmelegedés elleni védelem és a felbillenés esetén automatikus kikapcsolás garantálja. Az állítható termosztát 18°C, 21°C, 24°C és 27°C hőmérsékleti értékek között választható, így mindig az Ön igényeinek megfelelő hőmérsékletet biztosíthatja. Az eszköz ideális helyiségmérete 30 m², így közepes méretű szobák fűtésére tökéletes.
A Home FK 52 fűtőtest IP20 védettségi fokozattal rendelkezik, ami azt jelenti, hogy kizárólag száraz, beltéri körülmények között használható, és nem alkalmas fürdőszobai telepítésre. Az eszköz zajszintje mindössze 55 dB(A), így csendesen működik, nem zavarva a mindennapi tevékenységeket. A készülék 230 V~ / 50 Hz tápellátással működik, 1,3 méter hosszú tápkábellel rendelkezik.
Ne várjon tovább, tegye otthonát még kényelmesebbé és melegebbé a Home FK 52 álló elektromos kerámia fűtőtesttel – rendelje meg most, és élvezze a gyors és hatékony fűtést minden nap!</t>
        </is>
      </c>
    </row>
    <row r="2084">
      <c r="A2084" s="3" t="inlineStr">
        <is>
          <t>FKF 54203</t>
        </is>
      </c>
      <c r="B2084" s="2" t="inlineStr">
        <is>
          <t>Home FKF 54203 fali SMART ventilátoros fűtőtest, 1000W/2000W, távirányító, üveg előlap, fehér</t>
        </is>
      </c>
      <c r="C2084" s="1" t="n">
        <v>34990.0</v>
      </c>
      <c r="D2084" s="7" t="n">
        <f>HYPERLINK("https://www.somogyi.hu/product/home-fkf-54203-fali-smart-ventilatoros-futotest-1000w-2000w-taviranyito-uveg-elolap-feher-fkf-54203-17765","https://www.somogyi.hu/product/home-fkf-54203-fali-smart-ventilatoros-futotest-1000w-2000w-taviranyito-uveg-elolap-feher-fkf-54203-17765")</f>
        <v>0.0</v>
      </c>
      <c r="E2084" s="7" t="n">
        <f>HYPERLINK("https://www.somogyi.hu/data/img/product_main_images/small/17765.jpg","https://www.somogyi.hu/data/img/product_main_images/small/17765.jpg")</f>
        <v>0.0</v>
      </c>
      <c r="F2084" s="2" t="inlineStr">
        <is>
          <t>5999084957872</t>
        </is>
      </c>
      <c r="G2084" s="4" t="inlineStr">
        <is>
          <t>Szeretné otthonát modern és elegáns fűtőberendezéssel felszerelni, amelyet akár távolról is vezérelhet? A Home FKF 54203 fali SMART ventilátoros fűtőtest ideális választás minden olyan otthon számára, ahol fontos a modern dizájn és a fejlett technológia. 
Ez a fehér üveg előlappal ellátott készülék két fűtési fokozattal rendelkezik: 1000 W és 2000 W, így könnyedén szabályozhatja a hőmérsékletet az igényeinek megfelelően. A fali elhelyezésű fűtőtest kompakt méretének (54 x 18,5 x 12 cm) köszönhetően bárhol elhelyezhető a lakásban. Az eszköz okostelefonos alkalmazással távolról is vezérelhető, így WiFi kapcsolaton keresztül bármikor és bárhonnan szabályozhatja a fűtést. A távirányítóval minden funkció könnyedén irányítható, beleértve a lengő légterelő lamellát, amely biztosítja a meleg levegő egyenletes eloszlását a helyiségben.
A Home FKF 54203 fűtőtest 24 órás időzítővel és heti programozhatósággal rendelkezik, így előre beállíthatja a kívánt fűtési időpontokat. Az elektronikus termosztát lehetővé teszi a pontos hőmérséklet-szabályozást, ezzel biztosítva az optimális komfortérzetet. A készülék automatikus kikapcsolása túlmelegedés esetén garantálja a biztonságos használatot.
Ez a fűtőtest ideális 30 m²-es helyiségek fűtésére, és modern, üveg előlapja tökéletesen illeszkedik bármilyen lakberendezési stílushoz. A Home FKF 54203 csendesen működik, így nem zavarja a mindennapi tevékenységeket.
Ne habozzon, tegye otthonát még komfortosabbá és modernebbé a Home FKF 54203 fali SMART ventilátoros fűtőtesttel – rendelje meg még ma, és élvezze a kényelmet és a hatékonyságot minden nap!</t>
        </is>
      </c>
    </row>
    <row r="2085">
      <c r="A2085" s="3" t="inlineStr">
        <is>
          <t>FK 30</t>
        </is>
      </c>
      <c r="B2085" s="2" t="inlineStr">
        <is>
          <t>Home FK 30 hordozható elektromos ventilátoros fűtőtest, 1000W/2000W</t>
        </is>
      </c>
      <c r="C2085" s="1" t="n">
        <v>14990.0</v>
      </c>
      <c r="D2085" s="7" t="n">
        <f>HYPERLINK("https://www.somogyi.hu/product/home-fk-30-hordozhato-elektromos-ventilatoros-futotest-1000w-2000w-fk-30-13569","https://www.somogyi.hu/product/home-fk-30-hordozhato-elektromos-ventilatoros-futotest-1000w-2000w-fk-30-13569")</f>
        <v>0.0</v>
      </c>
      <c r="E2085" s="7" t="n">
        <f>HYPERLINK("https://www.somogyi.hu/data/img/product_main_images/small/13569.jpg","https://www.somogyi.hu/data/img/product_main_images/small/13569.jpg")</f>
        <v>0.0</v>
      </c>
      <c r="F2085" s="2" t="inlineStr">
        <is>
          <t>5999084916213</t>
        </is>
      </c>
      <c r="G2085" s="4" t="inlineStr">
        <is>
          <t>Hogyan biztosíthat gyors és hatékony meleget bármely helyiségben? A Home FK 30 hordozható ventilátoros fűtőtest ideális megoldást kínál, hogy mindig kellemes hőmérsékletet élvezzen otthonában vagy munkahelyén.
Ez a hordozható fűtőtest két fűtési fokozattal rendelkezik: 1000 W és 2000 W, így igényei szerint állíthatja be a kívánt hőmérsékletet. A mechanikus termosztát lehetővé teszi a pontos hőmérsékletszabályozást, így mindig optimális komfortérzetet biztosít. A készülék strapabíró fémházzal van ellátva, amely hosszú távú megbízhatóságot garantál.
A Home FK 30 fűtőtest automatikus kikapcsolási funkcióval rendelkezik túlmelegedés esetén, amely biztosítja a maximális biztonságot. 
A biztonságos PTC fűtőelem gyors felmelegedést és hatékony működést tesz lehetővé, miközben energiatakarékos megoldást nyújt. Kompakt méretei (17,5 x 20 x 18 cm) révén a fűtőtest könnyedén hordozható és elhelyezhető bármely helyiségben, legyen az a nappali, hálószoba, iroda vagy akár egy műhely. A ventilátoros kialakítás biztosítja az egyenletes hőeloszlást, így gyorsan és hatékonyan melegíti fel a teret.
Ne várjon a hideg beköszöntéig! Szerezze be most a Home FK 30 hordozható ventilátoros fűtőtestet, és élvezze a gyors, hatékony és kényelmes fűtést bármikor, bárhol!</t>
        </is>
      </c>
    </row>
    <row r="2086">
      <c r="A2086" s="3" t="inlineStr">
        <is>
          <t>FKH 400</t>
        </is>
      </c>
      <c r="B2086" s="2" t="inlineStr">
        <is>
          <t>Home FKH 400 hordozható elektromos mini kerámia fűtőtest, 400W, elektronikus termosztát, fehér</t>
        </is>
      </c>
      <c r="C2086" s="1" t="n">
        <v>8690.0</v>
      </c>
      <c r="D2086" s="7" t="n">
        <f>HYPERLINK("https://www.somogyi.hu/product/home-fkh-400-hordozhato-elektromos-mini-keramia-futotest-400w-elektronikus-termosztat-feher-fkh-400-16935","https://www.somogyi.hu/product/home-fkh-400-hordozhato-elektromos-mini-keramia-futotest-400w-elektronikus-termosztat-feher-fkh-400-16935")</f>
        <v>0.0</v>
      </c>
      <c r="E2086" s="7" t="n">
        <f>HYPERLINK("https://www.somogyi.hu/data/img/product_main_images/small/16935.jpg","https://www.somogyi.hu/data/img/product_main_images/small/16935.jpg")</f>
        <v>0.0</v>
      </c>
      <c r="F2086" s="2" t="inlineStr">
        <is>
          <t>5999084949679</t>
        </is>
      </c>
      <c r="G2086" s="4" t="inlineStr">
        <is>
          <t>Szeretne egy hatékony, mégis kompakt fűtőtestet, amely gyorsan és csendesen melegíti fel otthona kisebb helyiségeit? A Home FKH 400 hordozható elektromos mini kerámia fűtőtest kiváló választás, ha hatékony és gyors fűtésre van szüksége kisebb helyiségekben. 
Az eszköz 400 W-os teljesítménnyel rendelkezik, amely ideális akár 6 m²-es helyiségek melegítésére is. Az elektronikus termosztát segítségével pontosan beállíthatja a kívánt hőmérsékletet 15 °C és 45 °C között, így mindig optimális komfortérzetet biztosít. 12 órás kikapcsolásidőzítéssel rendelkezik, amely lehetővé teszi, hogy előre beállítsa a fűtés időtartamát, ezzel is növelve a kényelmet és biztonságot. A készülék túlmelegedés elleni védelemmel van ellátva, így nyugodtan használhatja anélkül, hogy aggódnia kellene a biztonság miatt.
A Home FKH 400 fűtőtest kerámia fűtőelemet kapott, amely hatékonyan és gyorsan melegíti fel a levegőt, miközben a ventilátor üzemmód lehetőséget biztosít a melegebb hónapokban való használatra is. Az eszköz zajszintje mindössze 58 dB(A), így működése szinte észrevétlen marad, nem zavarva a mindennapi tevékenységeket. Kompakt méretének (9 x 17 x 8,5 cm) köszönhetően a fűtőtest könnyen hordozható és bárhol elhelyezhető a lakásban, munkahelyen, ahol szükség van egy kis plusz melegre. A készülék 230 V~ / 50 Hz tápellátással működik, és nem alkalmas fürdőszobai használatra.
Ne hagyja, hogy a hideg tönkretegye otthona kényelmét – szerezze be a Home FKH 400 hordozható elektromos mini kerámia fűtőtestet még ma, és élvezze a kellemes meleget minden nap!</t>
        </is>
      </c>
    </row>
    <row r="2087">
      <c r="A2087" s="3" t="inlineStr">
        <is>
          <t>FKF 65221</t>
        </is>
      </c>
      <c r="B2087" s="2" t="inlineStr">
        <is>
          <t>Home FKF 65221 fali ventilátoros fűtőtest, 1100/2200W, heti program, távirányító, fehér</t>
        </is>
      </c>
      <c r="C2087" s="1" t="n">
        <v>33990.0</v>
      </c>
      <c r="D2087" s="7" t="n">
        <f>HYPERLINK("https://www.somogyi.hu/product/home-fkf-65221-fali-ventilatoros-futotest-1100-2200w-heti-program-taviranyito-feher-fkf-65221-16446","https://www.somogyi.hu/product/home-fkf-65221-fali-ventilatoros-futotest-1100-2200w-heti-program-taviranyito-feher-fkf-65221-16446")</f>
        <v>0.0</v>
      </c>
      <c r="E2087" s="7" t="n">
        <f>HYPERLINK("https://www.somogyi.hu/data/img/product_main_images/small/16446.jpg","https://www.somogyi.hu/data/img/product_main_images/small/16446.jpg")</f>
        <v>0.0</v>
      </c>
      <c r="F2087" s="2" t="inlineStr">
        <is>
          <t>5999084944780</t>
        </is>
      </c>
      <c r="G2087" s="4" t="inlineStr">
        <is>
          <t>Olyan fűtőtestet keres, amely nemcsak hatékonyan fűti fel otthonát, hanem intelligens funkciókkal is rendelkezik, amelyeket a fotelból is vezérelhet? A Home FKF 65221 fali ventilátoros fűtőtest ideális választás minden modern otthon számára, amely gyors és hatékony fűtést igényel. 
Ez a stílusos fehér készülék két fűtési fokozattal rendelkezik: 1100 W és 2200 W, így könnyedén beállíthatja a hőmérsékletet az igényeinek megfelelően. Az elegáns dizájn és a kompakt méret (65 x 25 x 15 cm) lehetővé teszi, hogy bárhol elhelyezze a lakásban. A fűtőtest lengő légterelő lamellákkal van felszerelve, amelyek biztosítják a meleg levegő egyenletes eloszlását a helyiségben. Az elektronikus termosztát segítségével pontosan szabályozhatja a hőmérsékletet, míg az 8 órás kikapcsolásidőzítés és a heti programozhatóság lehetővé teszi, hogy előre beállítsa a fűtési időpontokat, így otthona mindig kellemesen meleg lesz.
A készülék ablaknyitás-érzékelő funkcióval rendelkezik, amely automatikusan kikapcsolja a fűtést, ha nyitott ablakot érzékel, ezzel energiát takarítva meg. Minden funkció távirányítható, így kényelmesen vezérelheti a fűtőtestet anélkül, hogy fel kellene kelnie. Az automatikus kikapcsolás túlmelegedés esetén további biztonságot nyújt. Ez a fali ventilátoros fűtőtest ideális választás akár 30 m²-es helyiségek fűtésére is, csendes működésével (55 dB) nem zavarja a mindennapi tevékenységeket, így tökéletesen illeszkedik a nyugodt otthoni környezetbe. A 230 V~ / 50 Hz tápellátás biztosítja a megbízható működést.
Ne habozzon, tegye otthonát még kényelmesebbé és modernebbé a Home FKF 65221 fali ventilátoros fűtőtesttel – rendelje meg most, és élvezze a gyors és hatékony fűtést minden nap!</t>
        </is>
      </c>
    </row>
    <row r="2088">
      <c r="A2088" s="3" t="inlineStr">
        <is>
          <t>FK 29</t>
        </is>
      </c>
      <c r="B2088" s="2" t="inlineStr">
        <is>
          <t>Home FK 29 álló elektromos kerámia fűtőtest, 900W/1800W, oszcillálás,  mechanikus termosztát, fekete</t>
        </is>
      </c>
      <c r="C2088" s="1" t="n">
        <v>18590.0</v>
      </c>
      <c r="D2088" s="7" t="n">
        <f>HYPERLINK("https://www.somogyi.hu/product/home-fk-29-allo-elektromos-keramia-futotest-900w-1800w-oszcillalas-mechanikus-termosztat-fekete-fk-29-15425","https://www.somogyi.hu/product/home-fk-29-allo-elektromos-keramia-futotest-900w-1800w-oszcillalas-mechanikus-termosztat-fekete-fk-29-15425")</f>
        <v>0.0</v>
      </c>
      <c r="E2088" s="7" t="n">
        <f>HYPERLINK("https://www.somogyi.hu/data/img/product_main_images/small/15425.jpg","https://www.somogyi.hu/data/img/product_main_images/small/15425.jpg")</f>
        <v>0.0</v>
      </c>
      <c r="F2088" s="2" t="inlineStr">
        <is>
          <t>5999084934590</t>
        </is>
      </c>
      <c r="G2088" s="4" t="inlineStr">
        <is>
          <t>Szeretné otthona hidegebb helyiségeit gyorsan és hatékonyan felmelegíteni, miközben egy elegáns fekete készülék díszíti a szobát? A Home FK 29 álló elektromos kerámia fűtőtest ideális választás, ha hatékony és gyors fűtésre van szüksége. 
Az elegáns fekete készülék két fűtési fokozattal rendelkezik, 900 W és 1800 W teljesítménnyel, így a hőmérsékletet igényei szerint állíthatja be. Az álló elhelyezésű fűtőtest kompakt méretével (22 x 32 x 14,5 cm) és könnyű súlyával könnyedén elhelyezhető és áthelyezhető bármelyik helyiségben. A mechanikus termosztát lehetővé teszi a pontos hőmérséklet beállítását, míg a 70°-os oszcillálás biztosítja a meleg levegő egyenletes eloszlását a szobában. 
A készülék csak ventilátor üzemmóddal is rendelkezik, így a melegebb hónapokban is hasznos lehet. A Home FK 29 fűtőtest biztonságát a túlmelegedés elleni védelem és a felbillenés esetén automatikusan kikapcsoló funkció garantálja. Az eszköz zajszintje mindössze 50 dB(A), így csendesen működik, nem zavarva a mindennapi tevékenységeket. Az ideális helyiségméret 27 m², így tökéletes választás közepes méretű szobák fűtésére. A készülék 230 V~ / 50 Hz tápellátással működik, 1,45 méter hosszú tápkábellel rendelkezik, és nem alkalmas fürdőszobai használatra. Egyéb információként fontos megjegyezni, hogy a termék kizárólag jól szigetelt helyiségek fűtésére vagy alkalmankénti használatra alkalmas.
Ne hagyja, hogy a hideg megzavarja otthona kényelmét – rendelje meg a Home FK 29 álló elektromos kerámia fűtőtestet még ma, és élvezze a gyors és hatékony fűtést minden nap!</t>
        </is>
      </c>
    </row>
    <row r="2089">
      <c r="A2089" s="3" t="inlineStr">
        <is>
          <t>FKF42202WIFI</t>
        </is>
      </c>
      <c r="B2089" s="2" t="inlineStr">
        <is>
          <t>Home FKF42202WIFI fali ventilátoros SMART fűtőtest, 1000W/2000W, heti program, távirányító, fehér</t>
        </is>
      </c>
      <c r="C2089" s="1" t="n">
        <v>21190.0</v>
      </c>
      <c r="D2089" s="7" t="n">
        <f>HYPERLINK("https://www.somogyi.hu/product/home-fkf42202wifi-fali-ventilatoros-smart-futotest-1000w-2000w-heti-program-taviranyito-feher-fkf42202wifi-18475","https://www.somogyi.hu/product/home-fkf42202wifi-fali-ventilatoros-smart-futotest-1000w-2000w-heti-program-taviranyito-feher-fkf42202wifi-18475")</f>
        <v>0.0</v>
      </c>
      <c r="E2089" s="7" t="n">
        <f>HYPERLINK("https://www.somogyi.hu/data/img/product_main_images/small/18475.jpg","https://www.somogyi.hu/data/img/product_main_images/small/18475.jpg")</f>
        <v>0.0</v>
      </c>
      <c r="F2089" s="2" t="inlineStr">
        <is>
          <t>5999084964931</t>
        </is>
      </c>
      <c r="G2089" s="4" t="inlineStr">
        <is>
          <t>Kíváncsi, hogyan vezérelheti otthoni fűtését akár távolról is, okostelefonja segítségével? A Home FKF42202WIFI fali ventilátoros SMART fűtőtest ideális választás mindazok számára, akik a legújabb technológiát szeretnék otthonukban alkalmazni. 
Ez az elegáns, fehér színű készülék két fűtési fokozattal rendelkezik: 1000 W és 2000 W, így könnyedén szabályozhatja a hőmérsékletet az igényeinek megfelelően. A maximális teljesítmény 2000 W, ami gyors és hatékony fűtést biztosít. A készülék normál üzemmódjai közé tartozik a csak ventilátor, a meleg és a forró levegő, amelyek lehetővé teszik, hogy bármilyen időjárási körülmények között komfortos legyen otthona. A termosztátvezérelt üzemmód segítségével 18°C és 45°C között állíthatja be a kívánt hőmérsékletet, így mindig optimális komfortot nyújt.
A Home FKF42202WIFI fűtőtestet heti programozhatósággal látták el, ami azt jelenti, hogy előre beállíthatja a kívánt fűtési időpontokat a hét minden napjára. Az ablaknyitás-érzékelés funkció automatikusan lekapcsolja a készüléket, ha nyitott ablakot érzékel, ezzel is energiát takarítva meg. Az eszköz 8 órás kikapcsolásidőzítővel rendelkezik, amely további kényelmet biztosít.
A fűtőtest biztonságát a túlmelegedés elleni védelem garantálja, míg a távirányítóval egyszerűen vezérelheti a készülék minden funkcióját. A Home FKF42202WIFI fűtőtest ingyenes okostelefonos alkalmazással is vezérelhető, így bárhonnan ellenőrizheti és állíthatja a fűtést otthonában. A készülék telepítése egyszerű, a falra rögzítéshez szükséges csavarok és tiplik mellékelve vannak. A távirányító tápellátása egy 3 V-os (CR2025) gombelemmel történik, amely tartozékként megtalálható a csomagban. A fűtőtest kompakt mérete (42,8 x 17,5 x 11,6 cm) lehetővé teszi, hogy szinte bárhol elhelyezhető legyen a lakásban.
Ne hagyja ki ezt a lehetőséget, hogy otthonában mindig kellemes meleget biztosítson – rendelje meg a Home FKF42202WIFI fali ventilátoros SMART fűtőtestet még ma, és élvezze a modern technológia nyújtotta kényelmet minden nap!</t>
        </is>
      </c>
    </row>
    <row r="2090">
      <c r="A2090" s="3" t="inlineStr">
        <is>
          <t>FKH 401</t>
        </is>
      </c>
      <c r="B2090" s="2" t="inlineStr">
        <is>
          <t>Home FKH 401 hordozható elektromos mini kerámia fűtőtest, 400W, elektronikus termosztát, lángeffekt, fehér</t>
        </is>
      </c>
      <c r="C2090" s="1" t="n">
        <v>11890.0</v>
      </c>
      <c r="D2090" s="7" t="n">
        <f>HYPERLINK("https://www.somogyi.hu/product/home-fkh-401-hordozhato-elektromos-mini-keramia-futotest-400w-elektronikus-termosztat-langeffekt-feher-fkh-401-17338","https://www.somogyi.hu/product/home-fkh-401-hordozhato-elektromos-mini-keramia-futotest-400w-elektronikus-termosztat-langeffekt-feher-fkh-401-17338")</f>
        <v>0.0</v>
      </c>
      <c r="E2090" s="7" t="n">
        <f>HYPERLINK("https://www.somogyi.hu/data/img/product_main_images/small/17338.jpg","https://www.somogyi.hu/data/img/product_main_images/small/17338.jpg")</f>
        <v>0.0</v>
      </c>
      <c r="F2090" s="2" t="inlineStr">
        <is>
          <t>5999084953607</t>
        </is>
      </c>
      <c r="G2090" s="4" t="inlineStr">
        <is>
          <t>Egy kompakt, mégis hatékony fűtőtestet keres, amely nemcsak meleget ad, de hangulatos látványt is nyújt? A Home FKH 401 hordozható elektromos mini kerámia fűtőtest tökéletes választás, ha egy kis helyiség gyors és hatékony fűtésére van szüksége. 
A készülék 400 W teljesítménnyel rendelkezik, így ideális akár 6 m²-es helyiségek melegítésére. Az elektronikus termosztát lehetővé teszi a pontos hőmérséklet beállítását 15 °C és 45 °C között, biztosítva az optimális komfortérzetet. A különleges és hangulatos lángeffekt kellemes látványt nyújt a hideg napokon, így nemcsak melegít, de otthonának dekoratív elemeként is szolgál. A 12 órás kikapcsolásidőzítés funkcióval előre beállíthatja a fűtés időtartamát, növelve ezzel a kényelmet és a biztonságot. A készülék túlmelegedés elleni védelemmel rendelkezik, amely megakadályozza a túlmelegedést, így mindig biztonságosan használható.
A Home FKH 401 nem csak fűtési üzemmóddal, hanem csak ventilátor üzemmóddal is rendelkezik, így a melegebb hónapokban is hasznosítható. A készülék működési zajszintje mindössze 58 dB(A), így nem zavarja a mindennapi tevékenységeket. Kompakt méretének (9,5 x 18,5 x 7 cm) és könnyű súlyának köszönhetően könnyen hordozható és bárhol elhelyezhető a lakásban, ahol szükség van egy kis plusz melegre. A fűtőtest tápellátása 230 V~ / 50 Hz, és nem alkalmas fürdőszobai használatra.
Ne várjon tovább, teremtsen kellemes meleget és hangulatot otthonában a Home FKH 401 hordozható elektromos mini kerámia fűtőtesttel – rendelje meg most, és élvezze a komfortot minden nap!</t>
        </is>
      </c>
    </row>
    <row r="2091">
      <c r="A2091" s="3" t="inlineStr">
        <is>
          <t>FK 53 WIFI</t>
        </is>
      </c>
      <c r="B2091" s="2" t="inlineStr">
        <is>
          <t>Home FK 53 álló elektromos smart kerámia fűtőtest, 1000W/2000W, oszcillálás, távirányító, fehér</t>
        </is>
      </c>
      <c r="C2091" s="1" t="n">
        <v>35390.0</v>
      </c>
      <c r="D2091" s="7" t="n">
        <f>HYPERLINK("https://www.somogyi.hu/product/home-fk-53-allo-elektromos-smart-keramia-futotest-1000w-2000w-oszcillalas-taviranyito-feher-fk-53-wifi-17337","https://www.somogyi.hu/product/home-fk-53-allo-elektromos-smart-keramia-futotest-1000w-2000w-oszcillalas-taviranyito-feher-fk-53-wifi-17337")</f>
        <v>0.0</v>
      </c>
      <c r="E2091" s="7" t="n">
        <f>HYPERLINK("https://www.somogyi.hu/data/img/product_main_images/small/17337.jpg","https://www.somogyi.hu/data/img/product_main_images/small/17337.jpg")</f>
        <v>0.0</v>
      </c>
      <c r="F2091" s="2" t="inlineStr">
        <is>
          <t>5999084953591</t>
        </is>
      </c>
      <c r="G2091" s="4" t="inlineStr">
        <is>
          <t>Szeretne egy intelligens fűtőtestet, amely gyorsan és hatékonyan melegíti fel otthonát, miközben kényelmesen vezérelheti távirányítóval? A Home FK 53 álló elektromos smart kerámia fűtőtest tökéletes választás minden modern otthon számára, ahol a hatékony fűtés és a kényelem egyaránt fontos. 
Ez az elegáns, fehér színű készülék két fűtési fokozattal rendelkezik: 1000 W és 2000 W, így könnyedén szabályozhatja a hőmérsékletet az igényeinek megfelelően. A készülék álló elhelyezésű, kompakt méretének (23 x 56 x 15 cm) és könnyű súlyának (2 kg) köszönhetően bárhol elhelyezhető a lakásban. Ezt a modern készüléket az okostelefonos alkalmazásnak köszönhetően távolról is működtetheti az otthoni WIFI-s környezetben de távirányítóval is vezérelhető, és rendelkezik 12 órás kikapcsolásidőzítéssel, ami lehetővé teszi, hogy előre beállítsa a fűtés időtartamát, növelve a kényelmet és az energiatakarékosságot. A készülék 15-45 °C közötti hőmérséklet-tartományban állítható be, így mindig az Ön igényeinek megfelelő meleget biztosítja.
Az oszcillálás funkció biztosítja a meleg levegő egyenletes eloszlását a helyiségben, míg a túlmelegedés elleni védelem és a felbillenés esetén automatikus kikapcsolás garantálja a biztonságos használatot. Az eszköz ideális 30 m²-es helyiségek fűtésére, zajszintje pedig mindössze 60 dB(A), így csendesen működik, nem zavarva a mindennapi tevékenységeket.
A Home FK 53 fűtőtest 230 V~ / 50 Hz tápellátással működik, és 1,4 méter hosszú tápkábellel rendelkezik. A készülék IP20 védettségi fokozattal rendelkezik, ami azt jelenti, hogy kizárólag száraz, beltéri körülmények között használható, és nem alkalmas fürdőszobai telepítésre. További hasznos információ, hogy a készülék WIFI jelátviteli frekvenciája 2,4 GHz, ami még nagyobb rugalmasságot biztosít a vezérlésben.
Ne hagyja ki ezt a kiváló lehetőséget, hogy otthonában mindig kellemes meleget teremtsen – rendelje meg a Home FK 53 álló elektromos smart kerámia fűtőtestet még ma, és élvezze a modern technológia nyújtotta kényelmet és hatékonyságot!</t>
        </is>
      </c>
    </row>
    <row r="2092">
      <c r="A2092" s="3" t="inlineStr">
        <is>
          <t>ST-22-240-E</t>
        </is>
      </c>
      <c r="B2092" s="2" t="inlineStr">
        <is>
          <t>Stanley ST-22-240-E hordozható elektromos ventilátoros PTC fűtőtest, 1000W/2000W</t>
        </is>
      </c>
      <c r="C2092" s="1" t="n">
        <v>18990.0</v>
      </c>
      <c r="D2092" s="7" t="n">
        <f>HYPERLINK("https://www.somogyi.hu/product/stanley-st-22-240-e-hordozhato-elektromos-ventilatoros-ptc-futotest-1000w-2000w-st-22-240-e-17043","https://www.somogyi.hu/product/stanley-st-22-240-e-hordozhato-elektromos-ventilatoros-ptc-futotest-1000w-2000w-st-22-240-e-17043")</f>
        <v>0.0</v>
      </c>
      <c r="E2092" s="7" t="n">
        <f>HYPERLINK("https://www.somogyi.hu/data/img/product_main_images/small/17043.jpg","https://www.somogyi.hu/data/img/product_main_images/small/17043.jpg")</f>
        <v>0.0</v>
      </c>
      <c r="F2092" s="2" t="inlineStr">
        <is>
          <t>0657888162216</t>
        </is>
      </c>
      <c r="G2092" s="4" t="inlineStr">
        <is>
          <t>Hogyan biztosíthatja otthona vagy munkahelye gyors és hatékony fűtését a hideg hónapokban? A Stanley ST-22-240-E hordozható ventilátoros PTC fűtőtest a megoldás, amely garantálja a kellemes meleget bárhol, ahol szüksége van rá.
Ez a praktikus és erőteljes fűtőtest két fűtési fokozattal rendelkezik: 1000 W és 2000 W, így igényei szerint szabályozhatja a hőmérsékletet. Ezen kívül a készülék csak ventilátor-üzemmódban is használható, így nem csak télen, de egész évben hasznát veheti. A túlmelegedés elleni védelem biztosítja, hogy a készülék automatikusan kikapcsoljon, ha a hőmérséklet túlságosan megemelkedik, így garantálva a biztonságot.
A Stanley ST-22-240-E fűtőtest mechanikus termosztáttal van felszerelve, amely lehetővé teszi a pontos hőmérséklet-szabályozást. A készülék fém háza és a PTC fűtőelem garantálja a tartósságot és a hosszú élettartamot. A fűtőtest tápellátása 230 V~ / 50 Hz, így bármely szabványos hálózati aljzathoz csatlakoztatható. A kompakt méretek (20 x 29 x 27,5 cm) révén a fűtőtest könnyedén hordozható és elhelyezhető bármely helyiségben, legyen az otthon vagy a munkahelyen.
Ne hagyja, hogy a hideg idő zavarja meg a kényelmét! Szerezze be most a Stanley ST-22-240-E hordozható ventilátoros PTC fűtőtestet, és élvezze a gyors, hatékony és biztonságos fűtést minden nap!</t>
        </is>
      </c>
    </row>
    <row r="2093">
      <c r="A2093" s="6" t="inlineStr">
        <is>
          <t xml:space="preserve">   Fűtés, Párátlanítás, Párásítás / Hősugárzó, fűtőtest, fűtőbetét</t>
        </is>
      </c>
      <c r="B2093" s="6" t="inlineStr">
        <is>
          <t/>
        </is>
      </c>
      <c r="C2093" s="6" t="inlineStr">
        <is>
          <t/>
        </is>
      </c>
      <c r="D2093" s="6" t="inlineStr">
        <is>
          <t/>
        </is>
      </c>
      <c r="E2093" s="6" t="inlineStr">
        <is>
          <t/>
        </is>
      </c>
      <c r="F2093" s="6" t="inlineStr">
        <is>
          <t/>
        </is>
      </c>
      <c r="G2093" s="6" t="inlineStr">
        <is>
          <t/>
        </is>
      </c>
    </row>
    <row r="2094">
      <c r="A2094" s="3" t="inlineStr">
        <is>
          <t>FKT 42CM</t>
        </is>
      </c>
      <c r="B2094" s="2" t="inlineStr">
        <is>
          <t>Home FKT 42CM fűtőbetét, FK 2 és FK 22 készülékhez, 600W</t>
        </is>
      </c>
      <c r="C2094" s="1" t="n">
        <v>1490.0</v>
      </c>
      <c r="D2094" s="7" t="n">
        <f>HYPERLINK("https://www.somogyi.hu/product/home-fkt-42cm-futobetet-fk-2-es-fk-22-keszulekhez-600w-fkt-42cm-7333","https://www.somogyi.hu/product/home-fkt-42cm-futobetet-fk-2-es-fk-22-keszulekhez-600w-fkt-42cm-7333")</f>
        <v>0.0</v>
      </c>
      <c r="E2094" s="7" t="n">
        <f>HYPERLINK("https://www.somogyi.hu/data/img/product_main_images/small/07333.jpg","https://www.somogyi.hu/data/img/product_main_images/small/07333.jpg")</f>
        <v>0.0</v>
      </c>
      <c r="F2094" s="2" t="inlineStr">
        <is>
          <t>5998312763223</t>
        </is>
      </c>
      <c r="G2094" s="4" t="inlineStr">
        <is>
          <t>Az FK 2 karccsöves fűtőtest és az FK 22 fali hősugárzó egyaránt figyelemre méltó teljesítménnyel rendelkezik, ezért is a háztartások elmaradhatatlan kellékeinek számítanak. Esetükben az FKT 42CM típusú fűtőbetét szolgáltatja a hősugárzást, amelyet, mint minden fogyó eszköz esetében, bizonyos időközönként ki kell cserélni. A minőségileg kialakított szerkezetét egy 42 cm hosszúságú cső formájú betét képzi, amely 600 W-os teljesítményt garantál mindkét fűtőtest számára. Az előnyös tulajdonságainak köszönhetően élettartama kifejezetten magas és kiváló hősugárzást biztosít.</t>
        </is>
      </c>
    </row>
    <row r="2095">
      <c r="A2095" s="3" t="inlineStr">
        <is>
          <t>E184113</t>
        </is>
      </c>
      <c r="B2095" s="2" t="inlineStr">
        <is>
          <t>Noirot E184113 Radiance H 1000 BL elektromos hősugárzó panel, 1000 W, IP24 védettség, beépített termosztát LCD kijelzővel, fali és hordozható kivitel</t>
        </is>
      </c>
      <c r="C2095" s="1" t="n">
        <v>87990.0</v>
      </c>
      <c r="D2095" s="7" t="n">
        <f>HYPERLINK("https://www.somogyi.hu/product/noirot-e184113-radiance-h-1000-bl-elektromos-hosugarzo-panel-1000-w-ip24-vedettseg-beepitett-termosztat-lcd-kijelzovel-fali-es-hordozhato-kivitel-e184113-18953","https://www.somogyi.hu/product/noirot-e184113-radiance-h-1000-bl-elektromos-hosugarzo-panel-1000-w-ip24-vedettseg-beepitett-termosztat-lcd-kijelzovel-fali-es-hordozhato-kivitel-e184113-18953")</f>
        <v>0.0</v>
      </c>
      <c r="E2095" s="7" t="n">
        <f>HYPERLINK("https://www.somogyi.hu/data/img/product_main_images/small/18953.jpg","https://www.somogyi.hu/data/img/product_main_images/small/18953.jpg")</f>
        <v>0.0</v>
      </c>
      <c r="F2095" s="2" t="inlineStr">
        <is>
          <t>3465700055564</t>
        </is>
      </c>
      <c r="G2095" s="4" t="inlineStr">
        <is>
          <t>Szeretné otthonában a maximális kényelmet és hatékonyságot egy modern fűtőkészülékkel elérni? A Noirot E184113 Radiance H 1000 BL elektromos hősugárzó panel tökéletes megoldás azoknak, akik egy olyan fűtési eszközt keresnek, amely modern technológiát és stílusos kialakítást ötvöz. 
Ez az 1000 W teljesítményű, 440x630x110 mm méretű, fehér színű sugárzó panel kiválóan alkalmas arra, hogy kisebb helyiségeket gyorsan és egyenletesen fűtsön fel, miközben a beépített termosztát LCD kijelzővel biztosítja, hogy mindig a kívánt hőmérsékletet élvezhesse, akár 0,1 tized fokos pontossággal. A Radiance termékcsalád készülékei egyedülálló, saját fejlesztésű és gyártású sugárzó panellel rendelkeznek. Az egy egységből álló, alumíniumötvözetből készült hősugárzók fekete bevonatot kaptak a homlokzati oldalon, hogy csökkentsék ezzel a falak felmelegedését.
Innovatív technológia és intelligens funkciók a hatékony fűtésért
A Radiance hősugárzó panel IP24 védettséggel rendelkezik, ami lehetővé teszi a biztonságos használatát akár nedves helyiségekben, például fürdőszobában is. A beépített nyitott ablak érzékelő felismeri a hirtelen hőmérséklet-csökkenést, és automatikusan csökkenti a teljesítményt, hogy energiát takarítson meg. A készülékhez tartozik a heti programozási lehetőség, amely három előre beállított és három testre szabható programot kínál, így a fűtés tökéletesen igazodik az Ön napirendjéhez. A hőmérséklet kalibrálás és a PIN-kódos lezárás további biztonságot nyújt, így a beállításokat csak az arra jogosultak módosíthatják.
Sokoldalúság és elegancia minden térben
A Noirot E184113 Radiance H 1000 BL hősugárzó panel fali és hordozható kivitelben is használható, így mindig ott biztosít meleget, ahol a legnagyobb szükség van rá. Szabadon álló fűtőtestként való használathoz a külön megvásárolható Noirot A691600 görgőkészlet szükséges, amely lehetővé teszi a készülék egyszerű áthelyezését. A 6 órás memória áramszünet esetén is megőrzi a beállításokat, így a készülék az áramellátás visszatérése után automatikusan folytatja a működést az előzőleg beállított program szerint.
Válassza a Noirot E184113 Radiance H 1000 BL elektromos hősugárzó panelt, és élvezze az energiatakarékos és költséghatékony fűtést, amelyet az európai minőség és a francia formatervezés eleganciája garantál!</t>
        </is>
      </c>
    </row>
    <row r="2096">
      <c r="A2096" s="3" t="inlineStr">
        <is>
          <t>E184115</t>
        </is>
      </c>
      <c r="B2096" s="2" t="inlineStr">
        <is>
          <t>Noirot E184115 Radiance H 1500 BL elektromos hősugárzó panel, 1500 W, IP24 védettség, beépített termosztát LCD kijelzővel, fali és hordozható kivitel</t>
        </is>
      </c>
      <c r="C2096" s="1" t="n">
        <v>101990.0</v>
      </c>
      <c r="D2096" s="7" t="n">
        <f>HYPERLINK("https://www.somogyi.hu/product/noirot-e184115-radiance-h-1500-bl-elektromos-hosugarzo-panel-1500-w-ip24-vedettseg-beepitett-termosztat-lcd-kijelzovel-fali-es-hordozhato-kivitel-e184115-18954","https://www.somogyi.hu/product/noirot-e184115-radiance-h-1500-bl-elektromos-hosugarzo-panel-1500-w-ip24-vedettseg-beepitett-termosztat-lcd-kijelzovel-fali-es-hordozhato-kivitel-e184115-18954")</f>
        <v>0.0</v>
      </c>
      <c r="E2096" s="7" t="n">
        <f>HYPERLINK("https://www.somogyi.hu/data/img/product_main_images/small/18954.jpg","https://www.somogyi.hu/data/img/product_main_images/small/18954.jpg")</f>
        <v>0.0</v>
      </c>
      <c r="F2096" s="2" t="inlineStr">
        <is>
          <t>3465700055571</t>
        </is>
      </c>
      <c r="G2096" s="4" t="inlineStr">
        <is>
          <t>Szeretné otthonában a maximális kényelmet és hatékonyságot egy modern fűtőkészülékkel elérni? A Noirot E184115 Radiance H 1500 BL elektromos hősugárzó panel tökéletes megoldás azoknak, akik egy olyan fűtési eszközt keresnek, amely modern technológiát és stílusos kialakítást ötvöz. 
Ez az 1500 W teljesítményű, 440x790x110 mm méretű, fehér színű sugárzó panel kiválóan alkalmas arra, hogy kisebb helyiségeket gyorsan és egyenletesen fűtsön fel, miközben a beépített termosztát LCD kijelzővel biztosítja, hogy mindig a kívánt hőmérsékletet élvezhesse, akár 0,1 tized fokos pontossággal. A Radiance termékcsalád készülékei egyedülálló, saját fejlesztésű és gyártású sugárzó panellel rendelkeznek. Az egy egységből álló, alumíniumötvözetből készült hősugárzók fekete bevonatot kaptak a homlokzati oldalon, hogy csökkentsék ezzel a falak felmelegedését.
Innovatív technológia és intelligens funkciók a hatékony fűtésért
A Radiance hősugárzó panel IP24 védettséggel rendelkezik, ami lehetővé teszi a biztonságos használatát akár nedves helyiségekben, például fürdőszobában is. A beépített nyitott ablak érzékelő felismeri a hirtelen hőmérséklet-csökkenést, és automatikusan csökkenti a teljesítményt, hogy energiát takarítson meg. A készülékhez tartozik a heti programozási lehetőség, amely három előre beállított és három testre szabható programot kínál, így a fűtés tökéletesen igazodik az Ön napirendjéhez. A hőmérséklet kalibrálás és a PIN-kódos lezárás további biztonságot nyújt, így a beállításokat csak az arra jogosultak módosíthatják.
Sokoldalúság és elegancia minden térben
A Noirot E184115 Radiance H 1500 BL hősugárzó panel fali és hordozható kivitelben is használható, így mindig ott biztosít meleget, ahol a legnagyobb szükség van rá. Szabadon álló fűtőtestként való használathoz a külön megvásárolható Noirot A691600 görgőkészlet szükséges, amely lehetővé teszi a készülék egyszerű áthelyezését. A 6 órás memória áramszünet esetén is megőrzi a beállításokat, így a készülék az áramellátás visszatérése után automatikusan folytatja a működést az előzőleg beállított program szerint.
Válassza a Noirot E184115 Radiance H 1500 BL elektromos hősugárzó panelt, és élvezze az energiatakarékos és költséghatékony fűtést, amelyet az európai minőség és a francia formatervezés eleganciája garantál!</t>
        </is>
      </c>
    </row>
    <row r="2097">
      <c r="A2097" s="3" t="inlineStr">
        <is>
          <t>FK 21</t>
        </is>
      </c>
      <c r="B2097" s="2" t="inlineStr">
        <is>
          <t>Home FK 21 álló elektromos halogén hősugárzó fűtőtest, 400W/800W/1200W, oszcillálás, IP20 védelem, fekete/ezüst</t>
        </is>
      </c>
      <c r="C2097" s="1" t="n">
        <v>12990.0</v>
      </c>
      <c r="D2097" s="7" t="n">
        <f>HYPERLINK("https://www.somogyi.hu/product/home-fk-21-allo-elektromos-halogen-hosugarzo-futotest-400w-800w-1200w-oszcillalas-ip20-vedelem-fekete-ezust-fk-21-14754","https://www.somogyi.hu/product/home-fk-21-allo-elektromos-halogen-hosugarzo-futotest-400w-800w-1200w-oszcillalas-ip20-vedelem-fekete-ezust-fk-21-14754")</f>
        <v>0.0</v>
      </c>
      <c r="E2097" s="7" t="n">
        <f>HYPERLINK("https://www.somogyi.hu/data/img/product_main_images/small/14754.jpg","https://www.somogyi.hu/data/img/product_main_images/small/14754.jpg")</f>
        <v>0.0</v>
      </c>
      <c r="F2097" s="2" t="inlineStr">
        <is>
          <t>5999084927943</t>
        </is>
      </c>
      <c r="G2097" s="4" t="inlineStr">
        <is>
          <t>Szeretne egy hatékony és elegáns hősugárzót, amely gyorsan felmelegíti a helyiséget, miközben tökéletesen illeszkedik otthonának stílusához? A Home FK 21 álló elektromos halogén hősugárzó fűtőtest kiváló választás mindazok számára, akik gyors és hatékony fűtési megoldást keresnek. 
Ez a fekete-ezüst színű készülék három fűtési fokozattal rendelkezik: 400 W, 800 W és 1200 W, így könnyedén szabályozhatja a helyiség hőmérsékletét az igényeinek megfelelően. A hősugárzó ideális akár 18 m²-es helyiségek melegítésére is. Az FK 21 modell IP20 védettségi fokozattal rendelkezik, ami azt jelenti, hogy kizárólag jól szigetelt, száraz beltéri körülmények között használható, és nem alkalmas fürdőszobai telepítésre. A készülék biztonságát a felbillenés esetén automatikusan kikapcsoló funkció garantálja. Az oszcillálás funkció biztosítja a meleg levegő egyenletes eloszlását a helyiségben.
A halogén fűtőtest kompakt méretének (36 x 52 x 26 cm) és könnyű súlyának (1,5 kg) köszönhetően könnyedén elhelyezhető bármelyik szobában. A készülék 230 V~ / 50 Hz tápellátással működik, és 1,1 méter hosszú tápkábellel rendelkezik, ami lehetővé teszi a rugalmas elhelyezést. A fűtőbetétje cserélhető (FK 21/T).
Ne hagyja, hogy a hideg tönkretegye otthonának kényelmét – rendelje meg a Home FK 21 álló elektromos halogén hősugárzó fűtőtestet még ma, és élvezze a gyors és hatékony fűtést minden nap!</t>
        </is>
      </c>
    </row>
    <row r="2098">
      <c r="A2098" s="3" t="inlineStr">
        <is>
          <t>FK 24</t>
        </is>
      </c>
      <c r="B2098" s="2" t="inlineStr">
        <is>
          <t>Home FK 24 falra szerelhető elektromos karccsöves fűtőtest, 600W/1200W,  IPX4 védelem, ezüst</t>
        </is>
      </c>
      <c r="C2098" s="1" t="n">
        <v>10690.0</v>
      </c>
      <c r="D2098" s="7" t="n">
        <f>HYPERLINK("https://www.somogyi.hu/product/home-fk-24-falra-szerelheto-elektromos-karccsoves-futotest-600w-1200w-ipx4-vedelem-ezust-fk-24-13571","https://www.somogyi.hu/product/home-fk-24-falra-szerelheto-elektromos-karccsoves-futotest-600w-1200w-ipx4-vedelem-ezust-fk-24-13571")</f>
        <v>0.0</v>
      </c>
      <c r="E2098" s="7" t="n">
        <f>HYPERLINK("https://www.somogyi.hu/data/img/product_main_images/small/13571.jpg","https://www.somogyi.hu/data/img/product_main_images/small/13571.jpg")</f>
        <v>0.0</v>
      </c>
      <c r="F2098" s="2" t="inlineStr">
        <is>
          <t>5999084916237</t>
        </is>
      </c>
      <c r="G2098" s="4" t="inlineStr">
        <is>
          <t>Hogyan teheti fürdőszobáját még kellemesebbé és melegebbé a hideg napokon? A Home FK 24 falra szerelhető karccsöves fűtőtest tökéletes választás, hogy mindig komfortos hőmérséklet várja otthonában.
Ez a fűtőtest két fűtési fokozattal rendelkezik: 600 W és 1200 W, így könnyedén beállíthatja a kívánt hőmérsékletet. Kifejezetten fürdőszobai használatra tervezett, strapabíró fémházzal rendelkezik, amely biztosítja a hosszú távú megbízhatóságot. Az állítható dőlésszög lehetővé teszi, hogy a fűtőtestet az Ön igényei szerint állítsa be, biztosítva a maximális hatékonyságot.
Az IPX4 védelem garantálja, hogy a készülék ellenáll a fröccsenő víznek, így biztonságosan használható nedves környezetben is. A falra szerelhető kivitel helytakarékos megoldást kínál, miközben elegáns és modern megjelenésével bármely fürdőszoba stílusához illeszkedik. A fűtőbetét típusa FK 24/T (420 mm, 600 W, IPX4), ami a kiváló teljesítményt és a biztonságot egyaránt biztosítja.
A Home FK 24 fűtőtest kompakt méretei (53,5 x 13 x 11 cm) révén könnyedén elhelyezhető, anélkül, hogy túl sok helyet foglalna. Ezüst színével és letisztult dizájnjával tökéletesen illeszkedik bármely fürdőszobai környezetbe.
Ne várjon tovább! Szerezze be most a Home FK 24 falra szerelhető karccsöves fűtőtestet, és élvezze a meleg, kényelmes fürdőszobát minden nap!</t>
        </is>
      </c>
    </row>
    <row r="2099">
      <c r="A2099" s="3" t="inlineStr">
        <is>
          <t>FKT 24CM</t>
        </is>
      </c>
      <c r="B2099" s="2" t="inlineStr">
        <is>
          <t>Home FKT 24CM fűtőbetét, FK 6/K készülékhez, 400W</t>
        </is>
      </c>
      <c r="C2099" s="1" t="n">
        <v>1350.0</v>
      </c>
      <c r="D2099" s="7" t="n">
        <f>HYPERLINK("https://www.somogyi.hu/product/home-fkt-24cm-futobetet-fk-6-k-keszulekhez-400w-fkt-24cm-7334","https://www.somogyi.hu/product/home-fkt-24cm-futobetet-fk-6-k-keszulekhez-400w-fkt-24cm-7334")</f>
        <v>0.0</v>
      </c>
      <c r="E2099" s="7" t="n">
        <f>HYPERLINK("https://www.somogyi.hu/data/img/product_main_images/small/07334.jpg","https://www.somogyi.hu/data/img/product_main_images/small/07334.jpg")</f>
        <v>0.0</v>
      </c>
      <c r="F2099" s="2" t="inlineStr">
        <is>
          <t>5998312763230</t>
        </is>
      </c>
      <c r="G2099" s="4" t="inlineStr">
        <is>
          <t>Az FK 6/K halogén fűtőtest kapcsolóval szabályozható teljesítménnyel rendelkezik, minőségi kialakításának köszönhetően pedig akár három fűtési fokozat (400 W / 800 W / 1200 W) közül is választhatunk. Alapesetben az FKT 24CM típusú fűtőbetét szolgáltatja számára a hősugárzást, amelyet, mint minden fogyó eszköz esetében, bizonyos időközönként ki kell cserélni. A minőségileg kialakított szerkezetét egy 24 cm hosszúságú cső formájú betét képzi, amely 400 W-os teljesítményt garantál a fűtőtest számára. Az előnyös tulajdonságainak köszönhetően élettartama kifejezetten magas és kiváló hősugárzást biztosít.</t>
        </is>
      </c>
    </row>
    <row r="2100">
      <c r="A2100" s="3" t="inlineStr">
        <is>
          <t>FK 272</t>
        </is>
      </c>
      <c r="B2100" s="2" t="inlineStr">
        <is>
          <t>Home FK 272 álló karccsöves kültéri hősugárzó, 650W/1350W, IPX4 védelem</t>
        </is>
      </c>
      <c r="C2100" s="1" t="n">
        <v>34990.0</v>
      </c>
      <c r="D2100" s="7" t="n">
        <f>HYPERLINK("https://www.somogyi.hu/product/home-fk-272-allo-karccsoves-kulteri-hosugarzo-650w-1350w-ipx4-vedelem-fk-272-16933","https://www.somogyi.hu/product/home-fk-272-allo-karccsoves-kulteri-hosugarzo-650w-1350w-ipx4-vedelem-fk-272-16933")</f>
        <v>0.0</v>
      </c>
      <c r="E2100" s="7" t="n">
        <f>HYPERLINK("https://www.somogyi.hu/data/img/product_main_images/small/16933.jpg","https://www.somogyi.hu/data/img/product_main_images/small/16933.jpg")</f>
        <v>0.0</v>
      </c>
      <c r="F2100" s="2" t="inlineStr">
        <is>
          <t>5999084949655</t>
        </is>
      </c>
      <c r="G2100" s="4" t="inlineStr">
        <is>
          <t>Hogyan biztosíthatja teraszán a kellemes meleget még a hűvösebb napokon is? A Home FK 272 álló karccsöves kültéri hősugárzó tökéletes megoldás, hogy mindig komfortos hőmérsékletet élvezzen a szabadban.
Ez a hősugárzó három fűtési fokozattal rendelkezik: 650W, 1350W és 2000W, így igényeinek megfelelően állíthatja be a kívánt hőmérsékletet. A magas sugárzó hőarány révén gyorsan és hatékonyan melegíti fel a környezetét, így bármikor élvezheti a kellemes meleget teraszán. Az IPX4 védettség biztosítja, hogy a készülék ellenáll a fröccsenő víznek, így tökéletesen alkalmas kültéri használatra is. A Home FK 272 hősugárzó hangtalan működése garantálja, hogy zavartalanul élvezhesse a kinti időtöltést. A rozsdamentes állvány biztosítja a készülék stabilitását és tartósságát, hosszú élettartamot biztosítva.
A hősugárzó felbillenés esetén automatikusan kikapcsol, így maximális biztonságot nyújt Önnek és családjának. Kompakt méretei (50 x 177-205 cm) révén könnyedén elhelyezhető bármely teraszon, és modern megjelenésével bármilyen környezetbe illeszkedik. Akkor sem kell aggódnia, ha hosszú idő után a kvarccsövet cserélnie kell, hiszen a Home Az FK 272/T fűtőbetét megvásárlásával tovább üzemel a készülék.
Ne hagyja, hogy a hűvös idő megakadályozza a teraszon töltött kellemes pillanatokat! Szerezze be most a Home FK 272 álló karccsöves kültéri hősugárzót, és élvezze a meleg és kényelmes kültéri környezetet egész évben!</t>
        </is>
      </c>
    </row>
    <row r="2101">
      <c r="A2101" s="3" t="inlineStr">
        <is>
          <t>E216113</t>
        </is>
      </c>
      <c r="B2101" s="2" t="inlineStr">
        <is>
          <t>Noirot E216113 Inova H 1000 BL hősugárzó, 1000 W, IP24 védettség, nyitott ablak érzékelő, beépített termosztát LCD-vel, fali és hordozható kivitel</t>
        </is>
      </c>
      <c r="C2101" s="1" t="n">
        <v>81890.0</v>
      </c>
      <c r="D2101" s="7" t="n">
        <f>HYPERLINK("https://www.somogyi.hu/product/noirot-e216113-inova-h-1000-bl-hosugarzo-1000-w-ip24-vedettseg-nyitott-ablak-erzekelo-beepitett-termosztat-lcd-vel-fali-es-hordozhato-kivitel-e216113-18956","https://www.somogyi.hu/product/noirot-e216113-inova-h-1000-bl-hosugarzo-1000-w-ip24-vedettseg-nyitott-ablak-erzekelo-beepitett-termosztat-lcd-vel-fali-es-hordozhato-kivitel-e216113-18956")</f>
        <v>0.0</v>
      </c>
      <c r="E2101" s="7" t="n">
        <f>HYPERLINK("https://www.somogyi.hu/data/img/product_main_images/small/18956.jpg","https://www.somogyi.hu/data/img/product_main_images/small/18956.jpg")</f>
        <v>0.0</v>
      </c>
      <c r="F2101" s="2" t="inlineStr">
        <is>
          <t>3465700056370</t>
        </is>
      </c>
      <c r="G2101" s="4" t="inlineStr">
        <is>
          <t>Hogyan teremthet gyorsan, kellemes meleget otthonában, miközben minimalizálja az energiaköltségeket? A Noirot E216113 Inova H 1000 BL hősugárzó tökéletes választás azok számára, akik egy hatékony és intelligens fűtési megoldást keresnek. 
Ez az 1000 W teljesítményű készülék nemcsak stílusos megjelenésével tűnik ki, hanem fejlett technológiájával is, amely lehetővé teszi a helyiségek gyors és egyenletes felfűtését. A beépített termosztát LCD kijelzővel biztosítja, hogy a hőmérséklet mindig pontosan az Ön igényei szerint alakuljon, akár 0,1 tized fokos pontossággal. A Noirot Inova termékek európai minőséget és letisztult francia formatervezést kínálják. Az egyrészes alumínium fűtőtest elsősorban az elülső oldalt fűti, így garantálja a gyors hőeloszlást és a homogén sugárzást. Sima felülete finom meleget biztosít az egész szobában.
Kifinomult technológia és intelligens funkciók a maximális kényelemért
A Noirot Inova H 1000 BL hősugárzó IP24 védettséggel rendelkezik, így biztonságosan használható akár nedves környezetben is, mint például fürdőszobákban. A nyitott ablak érzékelő funkció automatikusan felismeri, ha huzat keletkezik, és ennek megfelelően szabályozza a fűtést, hogy elkerülje az energiapazarlást. A készülék heti programozási lehetőséggel bír, három előre beállított és három testre szabható programmal, így a fűtés mindig az Ön napirendjéhez igazodik. A PIN-kódos lezárás és a gyermekzár funkció extra biztonságot nyújt, hogy a beállításokat csak az arra jogosultak módosíthassák. 440x630x105 mm-es méreteivel és elegáns fehér színével a lakás dísze lehet.
Rugalmas elhelyezési lehetőségek és elegáns megjelenés
A Noirot E216113 Inova H hősugárzó fali és hordozható kivitelben is használható, így ott biztosít meleget, ahol a legnagyobb szükség van rá. Szabadon álló fűtőtestként való használathoz a külön megvásárolható Noirot A691600 görgőkészlet szükséges, amely megkönnyíti a készülék áthelyezését. A 6 órás memória funkció áramszünet esetén is megőrzi a beállításokat, így az áram visszatérése után a készülék az előzőleg megadott program szerint folytatja működését. A hőmérséklet kalibrálás funkcióval biztos lehet benne, hogy a készülék mindig pontosan a kívánt hőmérsékletet biztosítja.
Válassza a Noirot E216113 Inova H 1000 BL hősugárzót, és élvezze a meleg, kényelmes és energiatakarékos otthont minden nap!</t>
        </is>
      </c>
    </row>
    <row r="2102">
      <c r="A2102" s="3" t="inlineStr">
        <is>
          <t>FKTW 501</t>
        </is>
      </c>
      <c r="B2102" s="2" t="inlineStr">
        <is>
          <t>Home FKTW 501 fali elektromos törölközőszárító, 500W, LCD, fehér</t>
        </is>
      </c>
      <c r="C2102" s="1" t="n">
        <v>58290.0</v>
      </c>
      <c r="D2102" s="7" t="n">
        <f>HYPERLINK("https://www.somogyi.hu/product/home-fktw-501-fali-elektromos-torolkozoszarito-500w-lcd-feher-fktw-501-17361","https://www.somogyi.hu/product/home-fktw-501-fali-elektromos-torolkozoszarito-500w-lcd-feher-fktw-501-17361")</f>
        <v>0.0</v>
      </c>
      <c r="E2102" s="7" t="n">
        <f>HYPERLINK("https://www.somogyi.hu/data/img/product_main_images/small/17361.jpg","https://www.somogyi.hu/data/img/product_main_images/small/17361.jpg")</f>
        <v>0.0</v>
      </c>
      <c r="F2102" s="2" t="inlineStr">
        <is>
          <t>5999084953836</t>
        </is>
      </c>
      <c r="G2102" s="4" t="inlineStr">
        <is>
          <t>Hogyan teheti fürdőszobáját még kényelmesebbé és praktikusabbá? A Home FKTW 501 fali elektromos törölközőszárító a tökéletes választás, hogy mindig meleg és száraz törölköző várja Önt.
Ez az 500 W névleges teljesítményű törölközőszárító gyorsan és hatékonyan szárítja meg törölközőit, miközben a fürdőszobában is kellemes meleget biztosít. A beépített kezelőfelület és LCD kijelző segítségével könnyedén beállíthatja a kívánt hőmérsékletet és időzítési programot. Az elektronikus termosztát precíz szabályozást tesz lehetővé, míg a heti programozási funkció maximális rugalmasságot biztosít, így a készülék mindig az Ön igényeihez igazodik.
A Home FKTW 501 törölközőszárító fagyőr funkcióval is rendelkezik, amely megvédi a készüléket a fagykároktól, és az ablaknyitás-érzékelés funkció révén automatikusan kikapcsol, ha friss levegőt enged be a helyiségbe, ezzel elkerülve a felesleges energiafogyasztást. A csendes és gazdaságos működés révén a készülék szinte észrevétlenül biztosítja a kívánt hőmérsékletet.
Falra szerelhető kivitele lehetővé teszi a helytakarékos elhelyezést, így a fürdőszoba esztétikus marad, miközben maximális funkcionalitást nyújt. Az automatikus kikapcsolás túlmelegedés esetén garantálja a biztonságot, megvédve ezzel otthonát és szeretteit. A készülék méretei 54x98x9,2 cm, így bármely fürdőszobában könnyedén elhelyezhető.
Ne hagyja ki ezt a praktikus és modern megoldást! Szerezze be most a Home FKTW 501 fali elektromos törölközőszárítót, és élvezze a meleg, száraz törölközők nyújtotta kényelmet minden nap!</t>
        </is>
      </c>
    </row>
    <row r="2103">
      <c r="A2103" s="3" t="inlineStr">
        <is>
          <t>FK 252</t>
        </is>
      </c>
      <c r="B2103" s="2" t="inlineStr">
        <is>
          <t>Home FK 252 álló elektromos karbon és halogén kombinált fűtőtest, 1200W/1200W, IPX4 védelem, távirányító, ezüst</t>
        </is>
      </c>
      <c r="C2103" s="1" t="n">
        <v>53990.0</v>
      </c>
      <c r="D2103" s="7" t="n">
        <f>HYPERLINK("https://www.somogyi.hu/product/home-fk-252-allo-elektromos-karbon-es-halogen-kombinalt-futotest-1200w-1200w-ipx4-vedelem-taviranyito-ezust-fk-252-16930","https://www.somogyi.hu/product/home-fk-252-allo-elektromos-karbon-es-halogen-kombinalt-futotest-1200w-1200w-ipx4-vedelem-taviranyito-ezust-fk-252-16930")</f>
        <v>0.0</v>
      </c>
      <c r="E2103" s="7" t="n">
        <f>HYPERLINK("https://www.somogyi.hu/data/img/product_main_images/small/16930.jpg","https://www.somogyi.hu/data/img/product_main_images/small/16930.jpg")</f>
        <v>0.0</v>
      </c>
      <c r="F2103" s="2" t="inlineStr">
        <is>
          <t>5999084949624</t>
        </is>
      </c>
      <c r="G2103" s="4" t="inlineStr">
        <is>
          <t>Hogyan biztosíthatja otthonában a tökéletes meleget, legyen szó beltéri vagy kültéri használatról? A Home FK 252 álló kombinált fűtőtest ideális választás, hogy mindig kellemes hőmérsékletet teremtsen, bárhol is van szükség rá.
Ez az innovatív fűtőtest két üzemmódot kínál: választhat a 1200 W teljesítményű halogén vagy a 1200 W teljesítményű karbon fűtőelem között, így mindig az igényeinek megfelelően fűthet. A készülék maximális teljesítménye 1200 W, amely hatékony és gyors fűtést biztosít bármely környezetben. A Home FK 252 fűtőtest távirányítóval vagy érintőgombokkal vezérelhető, így egyszerűen és kényelmesen szabályozhatja a készüléket. Az oszcillálási funkció bekapcsolásával a fűtőtest forgó mozgással terjeszti a meleget, egyenletes hőelosztást biztosítva. A 6 órás kikapcsolásidőzítés lehetővé teszi, hogy előre beállítsa a készülék működési idejét, így energiatakarékosan használhatja.
Az IPX4 védelem garantálja, hogy a készülék ellenáll a fröccsenő víznek, így biztonságosan használható beltéren és kültéren egyaránt. A felbillenés esetén automatikusan kikapcsoló funkció további biztonságot nyújt, megakadályozva a baleseteket. A távirányító tápellátása egy 3 V-os (CR2025) gombelem, amely tartozékként jár a készülékhez.
A Home FK 252 fűtőtest kompakt méretei (∅27x86 cm) révén könnyedén elhelyezhető bármely helyiségben vagy teraszon, miközben elegáns ezüst színével és modern dizájnjával bármely környezetbe illeszkedik.
Ne hagyja ki ezt a sokoldalú fűtési megoldást! Szerezze be most a Home FK 252 álló karbon és halogén kombinált fűtőtestet, és élvezze a gyors, hatékony és kényelmes fűtést otthonában vagy kertjében!</t>
        </is>
      </c>
    </row>
    <row r="2104">
      <c r="A2104" s="3" t="inlineStr">
        <is>
          <t>FK 25</t>
        </is>
      </c>
      <c r="B2104" s="2" t="inlineStr">
        <is>
          <t>Home FK 25 falra szerelhető karbonszálas fűtőtest, 600W/1200W, állítható dőlésszög</t>
        </is>
      </c>
      <c r="C2104" s="1" t="n">
        <v>25490.0</v>
      </c>
      <c r="D2104" s="7" t="n">
        <f>HYPERLINK("https://www.somogyi.hu/product/home-fk-25-falra-szerelheto-karbonszalas-futotest-600w-1200w-allithato-dolesszog-fk-25-16931","https://www.somogyi.hu/product/home-fk-25-falra-szerelheto-karbonszalas-futotest-600w-1200w-allithato-dolesszog-fk-25-16931")</f>
        <v>0.0</v>
      </c>
      <c r="E2104" s="7" t="n">
        <f>HYPERLINK("https://www.somogyi.hu/data/img/product_main_images/small/16931.jpg","https://www.somogyi.hu/data/img/product_main_images/small/16931.jpg")</f>
        <v>0.0</v>
      </c>
      <c r="F2104" s="2" t="inlineStr">
        <is>
          <t>5999084949631</t>
        </is>
      </c>
      <c r="G2104" s="4" t="inlineStr">
        <is>
          <t>Hogyan biztosíthat gyors és hatékony fűtést a fürdőszobájában a hideg napokon? A Home FK 25 falra szerelhető karbonszálas fűtőtest a tökéletes megoldás, amely elegáns megjelenésével és kiváló teljesítményével minden igényt kielégít.
Ez a fűtőtest két fűtési fokozattal rendelkezik: 600 W és 1200 W, így mindig az aktuális igényekhez igazíthatja a hőmérsékletet. A készülék IPX4 védelemmel van ellátva, amely biztosítja a fröccsenő víz elleni védelmet, így tökéletesen alkalmas a fürdőszobai használatra. A zsinórkapcsolóval könnyedén vezérelhető, így a beállítások egyszerűek és gyorsak.
A Home FK 25 falra szerelhető kivitelének köszönhetően helytakarékos megoldást nyújt, miközben masszív fémháza biztosítja a tartósságot és a hosszú élettartamot. Az állítható dőlésszög lehetővé teszi, hogy a fűtőtestet az Ön igényei szerint állítsa be, biztosítva ezzel a maximális hatékonyságot és kényelmet. A készülék méretei 74,5 x 10 x 20 cm, így kompakt és könnyen elhelyezhető bármely fürdőszobában. Modern dizájnjával bármely enteriőrbe tökéletesen illeszkedik, miközben hatékonyan melegíti fel a helyiséget.
Ne várjon tovább! Szerezze be most a Home FK 25 falra szerelhető karbonszálas fűtőtestet, és élvezze a gyors, hatékony és kényelmes fűtést fürdőszobájában minden nap!</t>
        </is>
      </c>
    </row>
    <row r="2105">
      <c r="A2105" s="3" t="inlineStr">
        <is>
          <t>E216115</t>
        </is>
      </c>
      <c r="B2105" s="2" t="inlineStr">
        <is>
          <t>Noirot E216115 Inova H 1500 BL hősugárzó, 1500 W, IP24 védettség, nyitott ablak érzékelő, beépített termosztát LCD-vel, fali és hordozható kivitel</t>
        </is>
      </c>
      <c r="C2105" s="1" t="n">
        <v>91790.0</v>
      </c>
      <c r="D2105" s="7" t="n">
        <f>HYPERLINK("https://www.somogyi.hu/product/noirot-e216115-inova-h-1500-bl-hosugarzo-1500-w-ip24-vedettseg-nyitott-ablak-erzekelo-beepitett-termosztat-lcd-vel-fali-es-hordozhato-kivitel-e216115-18957","https://www.somogyi.hu/product/noirot-e216115-inova-h-1500-bl-hosugarzo-1500-w-ip24-vedettseg-nyitott-ablak-erzekelo-beepitett-termosztat-lcd-vel-fali-es-hordozhato-kivitel-e216115-18957")</f>
        <v>0.0</v>
      </c>
      <c r="E2105" s="7" t="n">
        <f>HYPERLINK("https://www.somogyi.hu/data/img/product_main_images/small/18957.jpg","https://www.somogyi.hu/data/img/product_main_images/small/18957.jpg")</f>
        <v>0.0</v>
      </c>
      <c r="F2105" s="2" t="inlineStr">
        <is>
          <t>3465700056387</t>
        </is>
      </c>
      <c r="G2105" s="4" t="inlineStr">
        <is>
          <t>Hogyan teremthet gyorsan, kellemes meleget otthonában, miközben minimalizálja az energiaköltségeket? A Noirot E216115 Inova H 1500 BL hősugárzó tökéletes választás azok számára, akik egy hatékony és intelligens fűtési megoldást keresnek. 
Ez az 1500 W teljesítményű készülék nemcsak stílusos megjelenésével tűnik ki, hanem fejlett technológiájával is, amely lehetővé teszi a helyiségek gyors és egyenletes felfűtését. A beépített termosztát LCD kijelzővel biztosítja, hogy a hőmérséklet mindig pontosan az Ön igényei szerint alakuljon, akár 0,1 tized fokos pontossággal. A Noirot Inova termékek európai minőséget és letisztult francia formatervezést kínálják. Az egyrészes alumínium fűtőtest elsősorban az elülső oldalt fűti, így garantálja a gyors hőeloszlást és a homogén sugárzást. Sima felülete finom meleget biztosít az egész szobában.
Kifinomult technológia és intelligens funkciók a maximális kényelemért
A Noirot Inova H 1500 BL hősugárzó IP24 védettséggel rendelkezik, így biztonságosan használható akár nedves környezetben is, mint például fürdőszobákban. A nyitott ablak érzékelő funkció automatikusan felismeri, ha huzat keletkezik, és ennek megfelelően szabályozza a fűtést, hogy elkerülje az energiapazarlást. A készülék heti programozási lehetőséggel bír, három előre beállított és három testre szabható programmal, így a fűtés mindig az Ön napirendjéhez igazodik. A PIN-kódos lezárás és a gyermekzár funkció extra biztonságot nyújt, hogy a beállításokat csak az arra jogosultak módosíthassák. 440x790x110 mm-es méreteivel és elegáns fehér színével a lakás dísze lehet.
Rugalmas elhelyezési lehetőségek és elegáns megjelenés
A Noirot E216115 Inova H hősugárzó fali és hordozható kivitelben is használható, így ott biztosít meleget, ahol a legnagyobb szükség van rá. Szabadon álló fűtőtestként való használathoz a külön megvásárolható Noirot A691600 görgőkészlet szükséges, amely megkönnyíti a készülék áthelyezését. A 6 órás memória funkció áramszünet esetén is megőrzi a beállításokat, így az áram visszatérése után a készülék az előzőleg megadott program szerint folytatja működését. A hőmérséklet kalibrálás funkcióval biztos lehet benne, hogy a készülék mindig pontosan a kívánt hőmérsékletet biztosítja.
Válassza a Noirot E216115 Inova H 1500 BL hősugárzót, és élvezze a meleg, kényelmes és energiatakarékos otthont minden nap!</t>
        </is>
      </c>
    </row>
    <row r="2106">
      <c r="A2106" s="3" t="inlineStr">
        <is>
          <t>FK 23</t>
        </is>
      </c>
      <c r="B2106" s="2" t="inlineStr">
        <is>
          <t>Home FK 23 álló elektromos halogén hősugárzó fűtőtest, 400W/800W/1200W, oszcillálás, IP20 védelem, fekete/ezüst</t>
        </is>
      </c>
      <c r="C2106" s="1" t="n">
        <v>14990.0</v>
      </c>
      <c r="D2106" s="7" t="n">
        <f>HYPERLINK("https://www.somogyi.hu/product/home-fk-23-allo-elektromos-halogen-hosugarzo-futotest-400w-800w-1200w-oszcillalas-ip20-vedelem-fekete-ezust-fk-23-14753","https://www.somogyi.hu/product/home-fk-23-allo-elektromos-halogen-hosugarzo-futotest-400w-800w-1200w-oszcillalas-ip20-vedelem-fekete-ezust-fk-23-14753")</f>
        <v>0.0</v>
      </c>
      <c r="E2106" s="7" t="n">
        <f>HYPERLINK("https://www.somogyi.hu/data/img/product_main_images/small/14753.jpg","https://www.somogyi.hu/data/img/product_main_images/small/14753.jpg")</f>
        <v>0.0</v>
      </c>
      <c r="F2106" s="2" t="inlineStr">
        <is>
          <t>5999084927936</t>
        </is>
      </c>
      <c r="G2106" s="4" t="inlineStr">
        <is>
          <t>Szeretné megtalálni a tökéletes hősugárzót, amely gyorsan és hatékonyan felmelegíti a kisebb helyiségeket, miközben modern megjelenésével illeszkedik otthonához? A Home FK 23 álló elektromos halogén hősugárzó fűtőtest ideális választás minden olyan helyiségbe, ahol gyors és hatékony fűtésre van szükség. 
Ez a fekete-ezüst színű készülék három fűtési fokozattal rendelkezik: 400 W, 800 W és 1200 W, így könnyedén szabályozhatja a hőmérsékletet igényei szerint. Az eszköz ideális 18 m²-es helyiségek melegítésére, tökéletes megoldást nyújtva a kisebb szobák számára. A Home FK 23 hősugárzó IP20 védettségi fokozattal rendelkezik, ami azt jelenti, hogy kizárólag jól szigetelt, száraz beltéri körülmények között használható, és nem alkalmas fürdőszobai telepítésre. A készülék biztonságos használatát a felbillenés esetén automatikusan kikapcsoló funkció garantálja. Az oszcillálás funkció biztosítja a meleg levegő egyenletes eloszlását a helyiségben, növelve ezzel a fűtés hatékonyságát.
A halogén fűtőtest kompakt méretének (30 x 70 x 30 cm) és könnyű súlyának (1,9 kg) köszönhetően könnyedén elhelyezhető és áthelyezhető bárhol a lakásban. A készülék 230 V~ / 50 Hz tápellátással működik, és 1,25 méter hosszú tápkábellel rendelkezik, amely rugalmas elhelyezést biztosít. Az FK 23/T típusú cserélhető fűtőbetét garantálja a hosszú élettartamot és a fenntartható használatot.
Ne hagyja, hogy a hideg megzavarja otthonának kényelmét – rendelje meg a Home FK 23 álló elektromos halogén hősugárzó fűtőtestet még ma, és élvezze a gyors és hatékony fűtést minden nap!</t>
        </is>
      </c>
    </row>
    <row r="2107">
      <c r="A2107" s="3" t="inlineStr">
        <is>
          <t>FTW 2</t>
        </is>
      </c>
      <c r="B2107" s="2" t="inlineStr">
        <is>
          <t>Home FTW 2 álló vagy falra szerelhető fűtött elektromos törölközőszárító, 100W, IPX1 védelem</t>
        </is>
      </c>
      <c r="C2107" s="1" t="n">
        <v>25490.0</v>
      </c>
      <c r="D2107" s="7" t="n">
        <f>HYPERLINK("https://www.somogyi.hu/product/home-ftw-2-allo-vagy-falra-szerelheto-futott-elektromos-torolkozoszarito-100w-ipx1-vedelem-ftw-2-15985","https://www.somogyi.hu/product/home-ftw-2-allo-vagy-falra-szerelheto-futott-elektromos-torolkozoszarito-100w-ipx1-vedelem-ftw-2-15985")</f>
        <v>0.0</v>
      </c>
      <c r="E2107" s="7" t="n">
        <f>HYPERLINK("https://www.somogyi.hu/data/img/product_main_images/small/15985.jpg","https://www.somogyi.hu/data/img/product_main_images/small/15985.jpg")</f>
        <v>0.0</v>
      </c>
      <c r="F2107" s="2" t="inlineStr">
        <is>
          <t>5999084940195</t>
        </is>
      </c>
      <c r="G2107" s="4" t="inlineStr">
        <is>
          <t>Szeretne mindig meleg és száraz törölközőkkel kényeztetni magát, miközben helyet is megtakarít? A Home FTW 2 álló vagy falra szerelhető fűtött elektromos törölközőszárító a tökéletes választás az Ön otthonába.
Ez a 100 W teljesítményű törölközőszárító hatékonyan szárítja és melegíti törölközőit, így azok mindig készen állnak a használatra. A készülék 6 törölközőtartó rúddal rendelkezik, amelyek elegendő helyet biztosítanak több törölköző számára is. A Home FTW 2 szabadon álló vagy falra szerelhető kivitelének köszönhetően rugalmasan elhelyezhető a fürdőszobában vagy a mosókonyhában, így optimálisan kihasználhatja a rendelkezésre álló teret.
Az IPX1 védelem garantálja, hogy a készülék ellenáll a függőlegesen csepegő víznek, így biztonságosan használható nedves környezetben is. Az automatikus kikapcsolás funkció túlmelegedés esetén megvédi a készüléket és biztosítja a biztonságos használatot. A Home FTW 2 törölközőszárító méretei falra szerelve 54 x 86 x 10,2 cm, talpán állva pedig 54 x 91 x 35,3 cm, így könnyedén elhelyezhető bármely helyiségben, miközben elegáns és modern megjelenésével bármely fürdőszoba dísze lehet.
Ne várjon tovább! Szerezze be most a Home FTW 2 álló vagy falra szerelhető fűtött elektromos törölközőszárítót, és élvezze a meleg, száraz törölközők nyújtotta kényelmet minden nap!</t>
        </is>
      </c>
    </row>
    <row r="2108">
      <c r="A2108" s="3" t="inlineStr">
        <is>
          <t>FK 231</t>
        </is>
      </c>
      <c r="B2108" s="2" t="inlineStr">
        <is>
          <t>Home FK 231 álló elektromos halogén hősugárzó fűtőtest, 400W/800W/1200W, oszcillálás, IP20 védelem, fekete/ezüst</t>
        </is>
      </c>
      <c r="C2108" s="1" t="n">
        <v>13390.0</v>
      </c>
      <c r="D2108" s="7" t="n">
        <f>HYPERLINK("https://www.somogyi.hu/product/home-fk-231-allo-elektromos-halogen-hosugarzo-futotest-400w-800w-1200w-oszcillalas-ip20-vedelem-fekete-ezust-fk-231-18275","https://www.somogyi.hu/product/home-fk-231-allo-elektromos-halogen-hosugarzo-futotest-400w-800w-1200w-oszcillalas-ip20-vedelem-fekete-ezust-fk-231-18275")</f>
        <v>0.0</v>
      </c>
      <c r="E2108" s="7" t="n">
        <f>HYPERLINK("https://www.somogyi.hu/data/img/product_main_images/small/18275.jpg","https://www.somogyi.hu/data/img/product_main_images/small/18275.jpg")</f>
        <v>0.0</v>
      </c>
      <c r="F2108" s="2" t="inlineStr">
        <is>
          <t>5999084962975</t>
        </is>
      </c>
      <c r="G2108" s="4" t="inlineStr">
        <is>
          <t>Szeretné megtalálni a tökéletes hősugárzót, amely gyorsan és hatékonyan felmelegíti a kisebb helyiségeket, miközben modern megjelenésével illeszkedik otthonához? A Home FK 231 álló elektromos halogén hősugárzó fűtőtest ideális választás minden olyan helyiségbe, ahol gyors és hatékony fűtésre van szükség. 
Ez a fekete-ezüst színű készülék három fűtési fokozattal rendelkezik: 400 W, 800 W és 1200 W, így könnyedén szabályozhatja a hőmérsékletet igényei szerint. Az eszköz ideális 18 m²-es helyiségek melegítésére, tökéletes megoldást nyújtva a kisebb szobák számára. A Home FK 231 hősugárzó IP20 védettségi fokozattal rendelkezik, ami azt jelenti, hogy kizárólag jól szigetelt, száraz beltéri körülmények között használható, és nem alkalmas fürdőszobai telepítésre. A készülék biztonságos használatát a felbillenés esetén automatikusan kikapcsoló funkció garantálja. Az oszcillálás funkció biztosítja a meleg levegő egyenletes eloszlását a helyiségben, növelve ezzel a fűtés hatékonyságát.
A halogén fűtőtest kompakt méretének (30 x 70 x 30 cm) és könnyű súlyának (1,9 kg) köszönhetően könnyedén elhelyezhető és áthelyezhető bárhol a lakásban. A készülék 230 V~ / 50 Hz tápellátással működik, és 1,25 méter hosszú tápkábellel rendelkezik, amely rugalmas elhelyezést biztosít. Az FK 231/T típusú cserélhető fűtőbetét garantálja a hosszú élettartamot és a fenntartható használatot.
Ne hagyja, hogy a hideg megzavarja otthonának kényelmét – rendelje meg a Home FK 231 álló elektromos halogén hősugárzó fűtőtestet még ma, és élvezze a gyors és hatékony fűtést minden nap!</t>
        </is>
      </c>
    </row>
    <row r="2109">
      <c r="A2109" s="3" t="inlineStr">
        <is>
          <t>FTW 1</t>
        </is>
      </c>
      <c r="B2109" s="2" t="inlineStr">
        <is>
          <t>Home FTW 1 álló elektromos ruhaszárító, 220W, IPX1 védelem, fehér</t>
        </is>
      </c>
      <c r="C2109" s="1" t="n">
        <v>29590.0</v>
      </c>
      <c r="D2109" s="7" t="n">
        <f>HYPERLINK("https://www.somogyi.hu/product/home-ftw-1-allo-elektromos-ruhaszarito-220w-ipx1-vedelem-feher-ftw-1-15983","https://www.somogyi.hu/product/home-ftw-1-allo-elektromos-ruhaszarito-220w-ipx1-vedelem-feher-ftw-1-15983")</f>
        <v>0.0</v>
      </c>
      <c r="E2109" s="7" t="n">
        <f>HYPERLINK("https://www.somogyi.hu/data/img/product_main_images/small/15983.jpg","https://www.somogyi.hu/data/img/product_main_images/small/15983.jpg")</f>
        <v>0.0</v>
      </c>
      <c r="F2109" s="2" t="inlineStr">
        <is>
          <t>5999084940171</t>
        </is>
      </c>
      <c r="G2109" s="4" t="inlineStr">
        <is>
          <t>Szeretné gyorsan és hatékonyan megszárítani ruháit anélkül, hogy túl sok helyet foglalna? A Home FTW 1 álló elektromos ruhaszárító ideális megoldást kínál otthonában, amely energiatakarékos és kompakt kialakításával megkönnyíti a mindennapokat.
Ez az elektromos ruhaszárító 220 W teljesítményével gyorsan és hatékonyan szárítja meg ruháit. Az IPX1 védelem biztosítja, hogy a készülék ellenáll a függőlegesen csepegő víznek, így biztonságosan használható bármilyen környezetben. Az automatikus kikapcsolás funkció túlmelegedés esetén garantálja a biztonságot, megvédve a készüléket és ruháit.
A Home FTW 1 álló elektromos ruhaszárító praktikus méretekkel rendelkezik: teljesen nyitott állapotban 53 x 95 x 145 cm, összecsukva pedig mindössze 53 x 6 x 109 cm, így könnyedén tárolható, amikor nincs használatban. Ez a kompakt kialakítás lehetővé teszi, hogy kis helyen is elférjen, ideális megoldást nyújtva lakásokba és kisebb otthonokba is.
Ne hagyja, hogy a nedves ruhák okozta kellemetlenségek befolyásolják mindennapjait! Szerezze be most a Home FTW 1 álló elektromos ruhaszárítót, és élvezze a gyors, hatékony és kényelmes ruhaszárítást otthonában!</t>
        </is>
      </c>
    </row>
    <row r="2110">
      <c r="A2110" s="3" t="inlineStr">
        <is>
          <t>FKT 22CM</t>
        </is>
      </c>
      <c r="B2110" s="2" t="inlineStr">
        <is>
          <t>Home FKT 22CM fűtőbetét, FK 16 készülékhez, 400W</t>
        </is>
      </c>
      <c r="C2110" s="1" t="n">
        <v>1250.0</v>
      </c>
      <c r="D2110" s="7" t="n">
        <f>HYPERLINK("https://www.somogyi.hu/product/home-fkt-22cm-futobetet-fk-16-keszulekhez-400w-fkt-22cm-9908","https://www.somogyi.hu/product/home-fkt-22cm-futobetet-fk-16-keszulekhez-400w-fkt-22cm-9908")</f>
        <v>0.0</v>
      </c>
      <c r="E2110" s="7" t="n">
        <f>HYPERLINK("https://www.somogyi.hu/data/img/product_main_images/small/09908.jpg","https://www.somogyi.hu/data/img/product_main_images/small/09908.jpg")</f>
        <v>0.0</v>
      </c>
      <c r="F2110" s="2" t="inlineStr">
        <is>
          <t>5998312786277</t>
        </is>
      </c>
      <c r="G2110" s="4" t="inlineStr">
        <is>
          <t>Az FK 16-os halogén fűtőtest szabályozható teljesítménnyel rendelkezik, minőségi kialakításának köszönhetően, pedig akár három fűtési fokozat (400 W / 800 W / 1200 W) közül is választhatunk. Alapesetben az FKT 22CM típusú fűtőbetét szolgáltatja számára a hősugárzást, amelyet, mint minden fogyó eszköz esetében, bizonyos időközönként ki kell cserélni. A minőségileg kialakított szerkezetét egy 22 cm hosszúságú cső formájú betét képzi, amely 400 W-os teljesítményt garantál a fűtőtest számára. Az előnyös tulajdonságainak köszönhetően élettartama kifejezetten magas és kiváló hősugárzást biztosít.</t>
        </is>
      </c>
    </row>
    <row r="2111">
      <c r="A2111" s="3" t="inlineStr">
        <is>
          <t>FK 21/T</t>
        </is>
      </c>
      <c r="B2111" s="2" t="inlineStr">
        <is>
          <t>Home FK 21/T fűtőbetét, FK 21 készülékhez, 400W</t>
        </is>
      </c>
      <c r="C2111" s="1" t="n">
        <v>1150.0</v>
      </c>
      <c r="D2111" s="7" t="n">
        <f>HYPERLINK("https://www.somogyi.hu/product/home-fk-21-t-futobetet-fk-21-keszulekhez-400w-fk-21-t-14907","https://www.somogyi.hu/product/home-fk-21-t-futobetet-fk-21-keszulekhez-400w-fk-21-t-14907")</f>
        <v>0.0</v>
      </c>
      <c r="E2111" s="7" t="n">
        <f>HYPERLINK("https://www.somogyi.hu/data/img/product_main_images/small/14907.jpg","https://www.somogyi.hu/data/img/product_main_images/small/14907.jpg")</f>
        <v>0.0</v>
      </c>
      <c r="F2111" s="2" t="inlineStr">
        <is>
          <t>5999084929442</t>
        </is>
      </c>
      <c r="G2111" s="4" t="inlineStr">
        <is>
          <t>Az FK 21/T Fűtőbetét 400 W, hossza 195 mm.
A fűtőbetét az FK 21 halogén fűtőtesthez vásárolható meg.</t>
        </is>
      </c>
    </row>
    <row r="2112">
      <c r="A2112" s="3" t="inlineStr">
        <is>
          <t>E216215</t>
        </is>
      </c>
      <c r="B2112" s="2" t="inlineStr">
        <is>
          <t>Noirot E216215 Inova V 1500 BL hősugárzó, 2000 W, IP24 védettség, nyitott ablak érzékelő, beépített termosztát LCD-vel, fali kivitel</t>
        </is>
      </c>
      <c r="C2112" s="1" t="n">
        <v>156990.0</v>
      </c>
      <c r="D2112" s="7" t="n">
        <f>HYPERLINK("https://www.somogyi.hu/product/noirot-e216215-inova-v-1500-bl-hosugarzo-2000-w-ip24-vedettseg-nyitott-ablak-erzekelo-beepitett-termosztat-lcd-vel-fali-kivitel-e216215-18959","https://www.somogyi.hu/product/noirot-e216215-inova-v-1500-bl-hosugarzo-2000-w-ip24-vedettseg-nyitott-ablak-erzekelo-beepitett-termosztat-lcd-vel-fali-kivitel-e216215-18959")</f>
        <v>0.0</v>
      </c>
      <c r="E2112" s="7" t="n">
        <f>HYPERLINK("https://www.somogyi.hu/data/img/product_main_images/small/18959.jpg","https://www.somogyi.hu/data/img/product_main_images/small/18959.jpg")</f>
        <v>0.0</v>
      </c>
      <c r="F2112" s="2" t="inlineStr">
        <is>
          <t>3465700056776</t>
        </is>
      </c>
      <c r="G2112" s="4" t="inlineStr">
        <is>
          <t>Szeretné otthonát vagy irodáját gyorsan és hatékonyan felfűteni, miközben minimalizálja az energiafogyasztást? A Noirot E216215 Inova V 1500 BL hősugárzó tökéletes választás, ha egy nagy teljesítményű, mégis energiatakarékos fűtési megoldást keres. 
Ez a 1500 W-os készülék biztosítja, hogy a helyiségek gyorsan felmelegedjenek, miközben az IP24 védettségnek köszönhetően akár nedves helyiségekben is biztonságosan használható, például fürdőszobákban. A beépített termosztát LCD kijelzővel pontos hőmérséklet-szabályozást biztosít, amely akár 0,1 tized fokos pontossággal szabályozza a fűtést, így garantált a maximális kényelem. 
Az exkluzív, egy darabból álló alumínium fűtőelem és terelőelem nagyon gyorsan felmelegíti az előlapot, hogy gyengéd, egyenletes hőérzetet biztosítson az egész helyiségben.
Intelligens vezérlés és személyre szabható fűtési programok
A Noirot Inova V 1500 BL hősugárzó nyitott ablak érzékelő funkcióval rendelkezik, amely automatikusan csökkenti a fűtést, ha huzatot érzékel, ezzel is megelőzve az energiaveszteséget. A heti program lehetővé teszi, hogy előre beállítsa a fűtési időszakokat, három előre beállított és három testre szabható program közül választhat. A hőmérséklet kalibrálás és a PIN-kódos lezárás biztosítja, hogy a készülék mindig az optimális hőmérsékletet tartsa, és a beállítások védve legyenek a jogosulatlan hozzáféréstől.
Biztonság és stílus egy készülékben
A fali kivitelben elérhető hősugárzó modern, letisztult fehér dizájnnal rendelkezik, amely minden enteriőrbe könnyedén illeszkedik. A készülék gyermekzár funkcióval is fel van szerelve, ami garantálja, hogy a beállítások nem módosíthatók véletlenül. A 6 órás memóriafunkció biztosítja, hogy áramszünet esetén se veszítse el a beállításait, így az áram visszatérése után a készülék az előzőleg megadott program szerint folytatja működését.
Válassza a Noirot E216215 Inova V 1500 BL hősugárzót, és élvezze a francia dizájn, az európai minőség és az intelligens fűtési megoldások kényelmét!</t>
        </is>
      </c>
    </row>
    <row r="2113">
      <c r="A2113" s="3" t="inlineStr">
        <is>
          <t>FK 231/T</t>
        </is>
      </c>
      <c r="B2113" s="2" t="inlineStr">
        <is>
          <t>Home FK 231/T fűtőbetét, FK 231 készülékhez, 400W</t>
        </is>
      </c>
      <c r="C2113" s="1" t="n">
        <v>1150.0</v>
      </c>
      <c r="D2113" s="7" t="n">
        <f>HYPERLINK("https://www.somogyi.hu/product/home-fk-231-t-futobetet-fk-231-keszulekhez-400w-fk-231-t-18276","https://www.somogyi.hu/product/home-fk-231-t-futobetet-fk-231-keszulekhez-400w-fk-231-t-18276")</f>
        <v>0.0</v>
      </c>
      <c r="E2113" s="7" t="n">
        <f>HYPERLINK("https://www.somogyi.hu/data/img/product_main_images/small/18276.jpg","https://www.somogyi.hu/data/img/product_main_images/small/18276.jpg")</f>
        <v>0.0</v>
      </c>
      <c r="F2113" s="2" t="inlineStr">
        <is>
          <t>5999084962982</t>
        </is>
      </c>
      <c r="G2113" s="4" t="inlineStr">
        <is>
          <t>Az FK 231/T Fűtőbetét 400 W, hossza 160 mm. 
A fűtőbetét az FK 231 halogén fűtőtesthez vásárolható meg.</t>
        </is>
      </c>
    </row>
    <row r="2114">
      <c r="A2114" s="3" t="inlineStr">
        <is>
          <t>FK 23/T</t>
        </is>
      </c>
      <c r="B2114" s="2" t="inlineStr">
        <is>
          <t>Home FK 23/T fűtőbetét, FK 23 készülékhez, 400W</t>
        </is>
      </c>
      <c r="C2114" s="1" t="n">
        <v>1150.0</v>
      </c>
      <c r="D2114" s="7" t="n">
        <f>HYPERLINK("https://www.somogyi.hu/product/home-fk-23-t-futobetet-fk-23-keszulekhez-400w-fk-23-t-14906","https://www.somogyi.hu/product/home-fk-23-t-futobetet-fk-23-keszulekhez-400w-fk-23-t-14906")</f>
        <v>0.0</v>
      </c>
      <c r="E2114" s="7" t="n">
        <f>HYPERLINK("https://www.somogyi.hu/data/img/product_main_images/small/14906.jpg","https://www.somogyi.hu/data/img/product_main_images/small/14906.jpg")</f>
        <v>0.0</v>
      </c>
      <c r="F2114" s="2" t="inlineStr">
        <is>
          <t>5999084929435</t>
        </is>
      </c>
      <c r="G2114" s="4" t="inlineStr">
        <is>
          <t>Az FK 23/T Fűtőbetét 400 W, hossza 163 mm. 
A fűtőbetét az FK 23 halogén fűtőtesthez vásárolható meg.</t>
        </is>
      </c>
    </row>
    <row r="2115">
      <c r="A2115" s="3" t="inlineStr">
        <is>
          <t>E184117</t>
        </is>
      </c>
      <c r="B2115" s="2" t="inlineStr">
        <is>
          <t>Noirot E184117 Radiance H 2000 BL elektromos hősugárzó panel, 2000 W, IP24 védettség, beépített termosztát LCD kijelzővel, fali és hordozható kivitel</t>
        </is>
      </c>
      <c r="C2115" s="1" t="n">
        <v>117990.0</v>
      </c>
      <c r="D2115" s="7" t="n">
        <f>HYPERLINK("https://www.somogyi.hu/product/noirot-e184117-radiance-h-2000-bl-elektromos-hosugarzo-panel-2000-w-ip24-vedettseg-beepitett-termosztat-lcd-kijelzovel-fali-es-hordozhato-kivitel-e184117-18955","https://www.somogyi.hu/product/noirot-e184117-radiance-h-2000-bl-elektromos-hosugarzo-panel-2000-w-ip24-vedettseg-beepitett-termosztat-lcd-kijelzovel-fali-es-hordozhato-kivitel-e184117-18955")</f>
        <v>0.0</v>
      </c>
      <c r="E2115" s="7" t="n">
        <f>HYPERLINK("https://www.somogyi.hu/data/img/product_main_images/small/18955.jpg","https://www.somogyi.hu/data/img/product_main_images/small/18955.jpg")</f>
        <v>0.0</v>
      </c>
      <c r="F2115" s="2" t="inlineStr">
        <is>
          <t>3465700055588</t>
        </is>
      </c>
      <c r="G2115" s="4" t="inlineStr">
        <is>
          <t>Szeretné otthonában a maximális kényelmet és hatékonyságot egy modern fűtőkészülékkel elérni? A Noirot E184117 Radiance H 2000 BL elektromos hősugárzó panel tökéletes megoldás azoknak, akik egy olyan fűtési eszközt keresnek, amely modern technológiát és stílusos kialakítást ötvöz. 
Ez az 2000 W teljesítményű, 440x1030x110 mm méretű, fehér színű sugárzó panel kiválóan alkalmas arra, hogy kisebb helyiségeket gyorsan és egyenletesen fűtsön fel, miközben a beépített termosztát LCD kijelzővel biztosítja, hogy mindig a kívánt hőmérsékletet élvezhesse, akár 0,1 tized fokos pontossággal. A Radiance termékcsalád készülékei egyedülálló, saját fejlesztésű és gyártású sugárzó panellel rendelkeznek. Az egy egységből álló, alumíniumötvözetből készült hősugárzók fekete bevonatot kaptak a homlokzati oldalon, hogy csökkentsék ezzel a falak felmelegedését.
Innovatív technológia és intelligens funkciók a hatékony fűtésért
A Radiance hősugárzó panel IP24 védettséggel rendelkezik, ami lehetővé teszi a biztonságos használatát akár nedves helyiségekben, például fürdőszobában is. A beépített nyitott ablak érzékelő felismeri a hirtelen hőmérséklet-csökkenést, és automatikusan csökkenti a teljesítményt, hogy energiát takarítson meg. A készülékhez tartozik a heti programozási lehetőség, amely három előre beállított és három testre szabható programot kínál, így a fűtés tökéletesen igazodik az Ön napirendjéhez. A hőmérséklet kalibrálás és a PIN-kódos lezárás további biztonságot nyújt, így a beállításokat csak az arra jogosultak módosíthatják.
Sokoldalúság és elegancia minden térben
A Noirot E184117 Radiance H 2000 BL hősugárzó panel fali és hordozható kivitelben is használható, így mindig ott biztosít meleget, ahol a legnagyobb szükség van rá. Szabadon álló fűtőtestként való használathoz a külön megvásárolható Noirot A691600 görgőkészlet szükséges, amely lehetővé teszi a készülék egyszerű áthelyezését. A 6 órás memória áramszünet esetén is megőrzi a beállításokat, így a készülék az áramellátás visszatérése után automatikusan folytatja a működést az előzőleg beállított program szerint.
Válassza a Noirot E184117 Radiance H 2000 BL elektromos hősugárzó panelt, és élvezze az energiatakarékos és költséghatékony fűtést, amelyet az európai minőség és a francia formatervezés eleganciája garantál!</t>
        </is>
      </c>
    </row>
    <row r="2116">
      <c r="A2116" s="3" t="inlineStr">
        <is>
          <t>FTW 4</t>
        </is>
      </c>
      <c r="B2116" s="2" t="inlineStr">
        <is>
          <t>Home FTW 4 fali fűtött elektromos törölközőszárító, 90W, IPX1 védelem, fehér</t>
        </is>
      </c>
      <c r="C2116" s="1" t="n">
        <v>27490.0</v>
      </c>
      <c r="D2116" s="7" t="n">
        <f>HYPERLINK("https://www.somogyi.hu/product/home-ftw-4-fali-futott-elektromos-torolkozoszarito-90w-ipx1-vedelem-feher-ftw-4-16463","https://www.somogyi.hu/product/home-ftw-4-fali-futott-elektromos-torolkozoszarito-90w-ipx1-vedelem-feher-ftw-4-16463")</f>
        <v>0.0</v>
      </c>
      <c r="E2116" s="7" t="n">
        <f>HYPERLINK("https://www.somogyi.hu/data/img/product_main_images/small/16463.jpg","https://www.somogyi.hu/data/img/product_main_images/small/16463.jpg")</f>
        <v>0.0</v>
      </c>
      <c r="F2116" s="2" t="inlineStr">
        <is>
          <t>5999084944957</t>
        </is>
      </c>
      <c r="G2116" s="4" t="inlineStr">
        <is>
          <t>Szeretne mindig friss és száraz törölközőket használni, miközben helyet is megtakarít? A Home FTW 4 fali fűtött elektromos törölközőszárító ideális megoldást kínál otthona számára, elegáns és hatékony kivitelben.
Ez a 90 W teljesítményű törölközőszárító 5 törölközőtartó rúddal rendelkezik, amelyek elegendő helyet biztosítanak a törölközők gyors és egyenletes szárításához. A készülék csak falra szerelhető kivitelben érhető el, így optimálisan kihasználhatja a fürdőszobában rendelkezésre álló teret, miközben elegáns megjelenésével is hozzájárul a helyiség stílusához.
Az IPX1 védelem garantálja, hogy a készülék ellenáll a függőlegesen csepegő víznek, így biztonságosan használható nedves környezetben is. Az automatikus kikapcsolás funkció túlmelegedés esetén gondoskodik a készülék védelméről és az Ön biztonságáról, megakadályozva a túlmelegedés okozta problémákat.
A Home FTW 4 törölközőszárító méretei 60 x 44,5 x 9,5 cm, így kompakt és helytakarékos megoldást nyújt bármely fürdőszobában. Fehér színével és letisztult formatervezésével könnyedén illeszkedik bármilyen enteriőrbe, miközben hatékonyan végzi a dolgát.
Ne várjon tovább! Szerezze be most a Home FTW 4 fali fűtött elektromos törölközőszárítót, és élvezze a meleg, száraz törölközők nyújtotta luxust minden nap!</t>
        </is>
      </c>
    </row>
    <row r="2117">
      <c r="A2117" s="3" t="inlineStr">
        <is>
          <t>FK 272/T</t>
        </is>
      </c>
      <c r="B2117" s="2" t="inlineStr">
        <is>
          <t>Home FK 272/T fűtőbetét, FK 272 készülékhez, 650W</t>
        </is>
      </c>
      <c r="C2117" s="1" t="n">
        <v>1290.0</v>
      </c>
      <c r="D2117" s="7" t="n">
        <f>HYPERLINK("https://www.somogyi.hu/product/home-fk-272-t-futobetet-fk-272-keszulekhez-650w-fk-272-t-18012","https://www.somogyi.hu/product/home-fk-272-t-futobetet-fk-272-keszulekhez-650w-fk-272-t-18012")</f>
        <v>0.0</v>
      </c>
      <c r="E2117" s="7" t="n">
        <f>HYPERLINK("https://www.somogyi.hu/data/img/product_main_images/small/18012.jpg","https://www.somogyi.hu/data/img/product_main_images/small/18012.jpg")</f>
        <v>0.0</v>
      </c>
      <c r="F2117" s="2" t="inlineStr">
        <is>
          <t>5999084960346</t>
        </is>
      </c>
      <c r="G2117" s="4" t="inlineStr">
        <is>
          <t>Az FK 272/T Fűtőbetét 650 W, hossza 350 mm.
A fűtőbetét az FK 272 halogén fűtőtesthez vásárolható meg.</t>
        </is>
      </c>
    </row>
    <row r="2118">
      <c r="A2118" s="3" t="inlineStr">
        <is>
          <t>E216117</t>
        </is>
      </c>
      <c r="B2118" s="2" t="inlineStr">
        <is>
          <t>Noirot E216117 Inova H 2000 BL hősugárzó, 2000 W, IP24 védettség, nyitott ablak érzékelő, beépített termosztát LCD-vel, fali és hordozható kivitel</t>
        </is>
      </c>
      <c r="C2118" s="1" t="n">
        <v>108990.0</v>
      </c>
      <c r="D2118" s="7" t="n">
        <f>HYPERLINK("https://www.somogyi.hu/product/noirot-e216117-inova-h-2000-bl-hosugarzo-2000-w-ip24-vedettseg-nyitott-ablak-erzekelo-beepitett-termosztat-lcd-vel-fali-es-hordozhato-kivitel-e216117-18958","https://www.somogyi.hu/product/noirot-e216117-inova-h-2000-bl-hosugarzo-2000-w-ip24-vedettseg-nyitott-ablak-erzekelo-beepitett-termosztat-lcd-vel-fali-es-hordozhato-kivitel-e216117-18958")</f>
        <v>0.0</v>
      </c>
      <c r="E2118" s="7" t="n">
        <f>HYPERLINK("https://www.somogyi.hu/data/img/product_main_images/small/18958.jpg","https://www.somogyi.hu/data/img/product_main_images/small/18958.jpg")</f>
        <v>0.0</v>
      </c>
      <c r="F2118" s="2" t="inlineStr">
        <is>
          <t>3465700056394</t>
        </is>
      </c>
      <c r="G2118" s="4" t="inlineStr">
        <is>
          <t>Hogyan teremthet gyorsan, kellemes meleget otthonában, miközben minimalizálja az energiaköltségeket? A Noirot E216117 Inova H 2000 BL hősugárzó tökéletes választás azok számára, akik egy hatékony és intelligens fűtési megoldást keresnek. 
Ez az 2000 W teljesítményű készülék nemcsak stílusos megjelenésével tűnik ki, hanem fejlett technológiájával is, amely lehetővé teszi a helyiségek gyors és egyenletes felfűtését. A beépített termosztát LCD kijelzővel biztosítja, hogy a hőmérséklet mindig pontosan az Ön igényei szerint alakuljon, akár 0,1 tized fokos pontossággal. A Noirot Inova termékek európai minőséget és letisztult francia formatervezést kínálják. Az egyrészes alumínium fűtőtest elsősorban az elülső oldalt fűti, így garantálja a gyors hőeloszlást és a homogén sugárzást. Sima felülete finom meleget biztosít az egész szobában.
Kifinomult technológia és intelligens funkciók a maximális kényelemért
A Noirot Inova H 2000 BL hősugárzó IP24 védettséggel rendelkezik, így biztonságosan használható akár nedves környezetben is, mint például fürdőszobákban. A nyitott ablak érzékelő funkció automatikusan felismeri, ha huzat keletkezik, és ennek megfelelően szabályozza a fűtést, hogy elkerülje az energiapazarlást. A készülék heti programozási lehetőséggel bír, három előre beállított és három testre szabható programmal, így a fűtés mindig az Ön napirendjéhez igazodik. A PIN-kódos lezárás és a gyermekzár funkció extra biztonságot nyújt, hogy a beállításokat csak az arra jogosultak módosíthassák. 440x950x110 mm-es méreteivel és elegáns fehér színével a lakás dísze lehet.
Rugalmas elhelyezési lehetőségek és elegáns megjelenés
A Noirot E216117 Inova H hősugárzó fali és hordozható kivitelben is használható, így ott biztosít meleget, ahol a legnagyobb szükség van rá. Szabadon álló fűtőtestként való használathoz a külön megvásárolható Noirot A691600 görgőkészlet szükséges, amely megkönnyíti a készülék áthelyezését. A 6 órás memória funkció áramszünet esetén is megőrzi a beállításokat, így az áram visszatérése után a készülék az előzőleg megadott program szerint folytatja működését. A hőmérséklet kalibrálás funkcióval biztos lehet benne, hogy a készülék mindig pontosan a kívánt hőmérsékletet biztosítja.
Válassza a Noirot E216117 Inova H 2000 BL hősugárzót, és élvezze a meleg, kényelmes és energiatakarékos otthont minden nap!</t>
        </is>
      </c>
    </row>
    <row r="2119">
      <c r="A2119" s="3" t="inlineStr">
        <is>
          <t>FK 24/T</t>
        </is>
      </c>
      <c r="B2119" s="2" t="inlineStr">
        <is>
          <t>Home FK 24/T fűtőbetét, FK 24 készülékhez, 600W</t>
        </is>
      </c>
      <c r="C2119" s="1" t="n">
        <v>1290.0</v>
      </c>
      <c r="D2119" s="7" t="n">
        <f>HYPERLINK("https://www.somogyi.hu/product/home-fk-24-t-futobetet-fk-24-keszulekhez-600w-fk-24-t-13572","https://www.somogyi.hu/product/home-fk-24-t-futobetet-fk-24-keszulekhez-600w-fk-24-t-13572")</f>
        <v>0.0</v>
      </c>
      <c r="E2119" s="7" t="n">
        <f>HYPERLINK("https://www.somogyi.hu/data/img/product_main_images/small/13572.jpg","https://www.somogyi.hu/data/img/product_main_images/small/13572.jpg")</f>
        <v>0.0</v>
      </c>
      <c r="F2119" s="2" t="inlineStr">
        <is>
          <t>5999084916244</t>
        </is>
      </c>
      <c r="G2119" s="4" t="inlineStr">
        <is>
          <t>Az FK 24/T Fűtőbetét 600 W, hossza 385 mm. 
A fűtőbetét az FK 24 kvarccsöves fűtőtesthez vásárolható meg.</t>
        </is>
      </c>
    </row>
    <row r="2120">
      <c r="A2120" s="6" t="inlineStr">
        <is>
          <t xml:space="preserve">   Fűtés, Párátlanítás, Párásítás / Konvektor fűtőtest, elektromos fűtőtest, fagyőr</t>
        </is>
      </c>
      <c r="B2120" s="6" t="inlineStr">
        <is>
          <t/>
        </is>
      </c>
      <c r="C2120" s="6" t="inlineStr">
        <is>
          <t/>
        </is>
      </c>
      <c r="D2120" s="6" t="inlineStr">
        <is>
          <t/>
        </is>
      </c>
      <c r="E2120" s="6" t="inlineStr">
        <is>
          <t/>
        </is>
      </c>
      <c r="F2120" s="6" t="inlineStr">
        <is>
          <t/>
        </is>
      </c>
      <c r="G2120" s="6" t="inlineStr">
        <is>
          <t/>
        </is>
      </c>
    </row>
    <row r="2121">
      <c r="A2121" s="3" t="inlineStr">
        <is>
          <t>FKIR 722</t>
        </is>
      </c>
      <c r="B2121" s="2" t="inlineStr">
        <is>
          <t>Home FKIR 722 falra vagy plafonra szerelhető infra elektromos hibrid fűtőtest, 720W, heti program, távirányító, fehér</t>
        </is>
      </c>
      <c r="C2121" s="1" t="n">
        <v>91490.0</v>
      </c>
      <c r="D2121" s="7" t="n">
        <f>HYPERLINK("https://www.somogyi.hu/product/home-fkir-722-falra-vagy-plafonra-szerelheto-infra-elektromos-hibrid-futotest-720w-heti-program-taviranyito-feher-fkir-722-17763","https://www.somogyi.hu/product/home-fkir-722-falra-vagy-plafonra-szerelheto-infra-elektromos-hibrid-futotest-720w-heti-program-taviranyito-feher-fkir-722-17763")</f>
        <v>0.0</v>
      </c>
      <c r="E2121" s="7" t="n">
        <f>HYPERLINK("https://www.somogyi.hu/data/img/product_main_images/small/17763.jpg","https://www.somogyi.hu/data/img/product_main_images/small/17763.jpg")</f>
        <v>0.0</v>
      </c>
      <c r="F2121" s="2" t="inlineStr">
        <is>
          <t>5999084957858</t>
        </is>
      </c>
      <c r="G2121" s="4" t="inlineStr">
        <is>
          <t>Szeretné otthonát gyorsan és hatékonyan felmelegíteni, miközben energiatakarékos megoldást választ? A Home FKIR 722 infra elektromos hibrid fűtőtest a tökéletes választás, amely modern és stílusos fűtési megoldást kínál.
Ez a 720 W teljesítményű fűtőtest falra vagy plafonra szerelhető kivitelben érhető el, így bármelyik helyiségben könnyedén elhelyezhető. Az infrapanelek előnyeit ötvözi a klasszikus fűtési módoknál megszokott hőérzettel, így biztosítva a kellemes és egyenletes meleget. A készülék távirányítóval szabályozható, amelybe vezeték nélküli termosztát is be van építve, így mindig kényelmesen és pontosan állíthatja be a kívánt hőmérsékletet.
A Home FKIR 722 hordozható elektronikus termosztát szabályozással rendelkezik, ami további rugalmasságot nyújt a használat során. A heti programozás lehetősége lehetővé teszi, hogy előre beállítsa a fűtési ciklusokat, így biztosítva a maximális kényelmet és energiamegtakarítást. Az automatikus kikapcsolás funkció túlmelegedés esetén garantálja a biztonságot, megvédve otthonát és szeretteit. A készülék tömege mindössze 5,1 kg, így könnyedén felszerelhető és áthelyezhető. Kompakt mérete (119,5x59,5x4 cm) révén diszkréten illeszkedik bármely helyiségbe, miközben hatékonyan fűti azt.
Ne maradjon le erről az innovatív fűtési megoldásról! Szerezze be most a Home FKIR 722 infra elektromos hibrid fűtőtestet, és élvezze a gyors, hatékony és energiatakarékos fűtést otthonában!</t>
        </is>
      </c>
    </row>
    <row r="2122">
      <c r="A2122" s="3" t="inlineStr">
        <is>
          <t>FKIR 452</t>
        </is>
      </c>
      <c r="B2122" s="2" t="inlineStr">
        <is>
          <t>Home FKIR 452 falra vagy plafonra szerelhető infra elektromos hibrid fűtőtest, 450W, heti program, távirányító, fehér</t>
        </is>
      </c>
      <c r="C2122" s="1" t="n">
        <v>71690.0</v>
      </c>
      <c r="D2122" s="7" t="n">
        <f>HYPERLINK("https://www.somogyi.hu/product/home-fkir-452-falra-vagy-plafonra-szerelheto-infra-elektromos-hibrid-futotest-450w-heti-program-taviranyito-feher-fkir-452-17762","https://www.somogyi.hu/product/home-fkir-452-falra-vagy-plafonra-szerelheto-infra-elektromos-hibrid-futotest-450w-heti-program-taviranyito-feher-fkir-452-17762")</f>
        <v>0.0</v>
      </c>
      <c r="E2122" s="7" t="n">
        <f>HYPERLINK("https://www.somogyi.hu/data/img/product_main_images/small/17762.jpg","https://www.somogyi.hu/data/img/product_main_images/small/17762.jpg")</f>
        <v>0.0</v>
      </c>
      <c r="F2122" s="2" t="inlineStr">
        <is>
          <t>5999084957841</t>
        </is>
      </c>
      <c r="G2122" s="4" t="inlineStr">
        <is>
          <t>Szeretné otthonát gyorsan és hatékonyan felmelegíteni, miközben energiatakarékos megoldást választ? A Home FKIR 452 infra elektromos hibrid fűtőtest a tökéletes választás, amely modern és stílusos fűtési megoldást kínál.
Ez a 450 W teljesítményű fűtőtest falra vagy plafonra szerelhető kivitelben érhető el, így bármelyik helyiségben könnyedén elhelyezhető. Az infrapanelek előnyeit ötvözi a klasszikus fűtési módoknál megszokott hőérzettel, így biztosítva a kellemes és egyenletes meleget. A készülék távirányítóval szabályozható, amelybe vezeték nélküli termosztát is be van építve, így mindig kényelmesen és pontosan állíthatja be a kívánt hőmérsékletet.
A Home FKIR 452 hordozható elektronikus termosztát szabályozással rendelkezik, ami további rugalmasságot nyújt a használat során. A heti programozás lehetősége lehetővé teszi, hogy előre beállítsa a fűtési ciklusokat, így biztosítva a maximális kényelmet és energiamegtakarítást. Az automatikus kikapcsolás funkció túlmelegedés esetén garantálja a biztonságot, megvédve otthonát és szeretteit. A készülék tömege mindössze 3,45 kg, így könnyedén felszerelhető és áthelyezhető. Kompakt mérete (90,5x50,5x4 cm) révén diszkréten illeszkedik bármely helyiségbe, miközben hatékonyan fűti azt.
Ne maradjon le erről az innovatív fűtési megoldásról! Szerezze be most a Home FKIR 452 infra elektromos hibrid fűtőtestet, és élvezze a gyors, hatékony és energiatakarékos fűtést otthonában!</t>
        </is>
      </c>
    </row>
    <row r="2123">
      <c r="A2123" s="3" t="inlineStr">
        <is>
          <t>FK415WIFI</t>
        </is>
      </c>
      <c r="B2123" s="2" t="inlineStr">
        <is>
          <t>Home FK415WIFI Smart konvektor fűtőtest, falra szerelhető vagy szabadonálló 1500W, IPX4, LED kijelző</t>
        </is>
      </c>
      <c r="C2123" s="1" t="n">
        <v>42590.0</v>
      </c>
      <c r="D2123" s="7" t="n">
        <f>HYPERLINK("https://www.somogyi.hu/product/home-fk415wifi-smart-konvektor-futotest-falra-szerelheto-vagy-szabadonallo-1500w-ipx4-led-kijelzo-fk415wifi-18580","https://www.somogyi.hu/product/home-fk415wifi-smart-konvektor-futotest-falra-szerelheto-vagy-szabadonallo-1500w-ipx4-led-kijelzo-fk415wifi-18580")</f>
        <v>0.0</v>
      </c>
      <c r="E2123" s="7" t="n">
        <f>HYPERLINK("https://www.somogyi.hu/data/img/product_main_images/small/18580.jpg","https://www.somogyi.hu/data/img/product_main_images/small/18580.jpg")</f>
        <v>0.0</v>
      </c>
      <c r="F2123" s="2" t="inlineStr">
        <is>
          <t>5999084965983</t>
        </is>
      </c>
      <c r="G2123" s="4" t="inlineStr">
        <is>
          <t>Szeretné otthona hőmérsékletét okostelefonról vezérelni, bárhol is legyen? A Home FK415WIFI SMART konvektor fűtőtest tökéletes megoldás, ha egy modern, hatékony és könnyen kezelhető fűtési rendszert keres. 
Ez a fűtőtest Wi-Fi kapcsolaton keresztül okostelefonról is vezérelhető, így mindig biztos lehet benne, hogy otthona kellemes hőmérsékletű lesz. A 1500 W teljesítményű fűtőtest gyorsan és hatékonyan melegíti fel a helyiséget, míg az IPX4 fröccsenő víz elleni védelem biztonságos használatot tesz lehetővé fürdőszobában is. A készülék szabadonálló vagy falra rögzíthető, így rugalmasan alkalmazkodik igényeihez.
A Home FK415WIFI SMART konvektor fagyőrként is használható, amely 7°C-on tartja a helyiséget, hogy megakadályozza a fagyást. A termosztátvezérelt üzemmód 5-35°C között állítható, így mindig pontosan a kívánt hőmérsékletet érheti el. Az elektronikus nyomógombok és a digitális LED kijelző egyszerű és intuitív kezelést biztosítanak. A heti programozhatóság és az ablaknyitás-érzékelés funkciók lehetővé teszik a fűtési időszakok és a hőmérséklet optimális beállítását, növelve ezzel az energiahatékonyságot. A 24 órás kikapcsolás időzítő segítségével pedig előre beállíthatja a fűtőtest működésének idejét.
A festett acél felület nemcsak esztétikus, de tartós is, és a főkapcsolóval egyszerűen ki- és bekapcsolható a készülék. A túlmelegedés elleni védelem extra biztonságot nyújt, így nyugodtan használhatja a készüléket. A csomag tartalmazza a falra rögzítéshez szükséges csavarokat és tipliket, így könnyedén felszerelheti a fűtőtestet. A Home FK415WIFI SMART konvektor fűtőtest méretei 70 x 43,5 x 22 cm, ami kompakt és könnyen elhelyezhető bármely helyiségben.
Ne habozzon, válassza a Home FK415WIFI SMART konvektor fűtőtestet, és élvezze a kényelmet és a modern technológia nyújtotta előnyöket otthonában!</t>
        </is>
      </c>
    </row>
    <row r="2124">
      <c r="A2124" s="3" t="inlineStr">
        <is>
          <t>BIN8110 ADXF1600</t>
        </is>
      </c>
      <c r="B2124" s="2" t="inlineStr">
        <is>
          <t>Home BIN8110 hőtárolós smart fűtőtest, 500 W - 1600 W, TUYA applikáció, túlmelegedés védelem, gyerekzár, automata és manuális üzemmód</t>
        </is>
      </c>
      <c r="C2124" s="1" t="n">
        <v>151990.0</v>
      </c>
      <c r="D2124" s="7" t="n">
        <f>HYPERLINK("https://www.somogyi.hu/product/home-bin8110-hotarolos-smart-futotest-500-w-1600-w-tuya-applikacio-tulmelegedes-vedelem-gyerekzar-automata-es-manualis-uzemmod-bin8110-adxf1600-18407","https://www.somogyi.hu/product/home-bin8110-hotarolos-smart-futotest-500-w-1600-w-tuya-applikacio-tulmelegedes-vedelem-gyerekzar-automata-es-manualis-uzemmod-bin8110-adxf1600-18407")</f>
        <v>0.0</v>
      </c>
      <c r="E2124" s="7" t="n">
        <f>HYPERLINK("https://www.somogyi.hu/data/img/product_main_images/small/18407.jpg","https://www.somogyi.hu/data/img/product_main_images/small/18407.jpg")</f>
        <v>0.0</v>
      </c>
      <c r="F2124" s="2" t="inlineStr">
        <is>
          <t>8606107662107</t>
        </is>
      </c>
      <c r="G2124" s="4" t="inlineStr">
        <is>
          <t>Kíváncsi, hogyan teheti otthonát még kényelmesebbé és energiatakarékosabbá? A Home BIN8110 hőtárolós smart fűtőtest intelligens megoldást kínál a modern otthonok számára.
Ez a 1600 W-os hőtároló és 500 W-os kiegyenlítő fűtési teljesítményű készülék a TUYA alkalmazáson keresztül vezérelhető, lehetővé téve, hogy Ön bárhonnan, bármikor szabályozhassa otthona hőmérsékletét. Az alapértelmezett 8 órás első hőtárolási időszaknak köszönhetően az éjszaka folyamán felhalmozott hő egész nap kellemes meleget biztosít.
Két beállítható hőtároló időszakkal, automatikus és manuális üzemmóddal, valamint egy öntanuló funkcióval, amely adaptív bekapcsolásvezérlést tesz lehetővé, ez a fűtőtest maximális kényelmet nyújt. A gyerekzár, az ablaknyitás-érzékelés és a túlmelegedés elleni védelem gondoskodik a biztonságról. Mérete 64 x 61,8 x 18,7 cm, a készülék tömege téglákkal együtt 88 kg.
&lt;span style=”color:red;”&gt;&lt;strong&gt;A készülékhez nem tartoznak hőtároló téglák, azokat külön szükséges megvásárolni!&lt;/strong&gt;&lt;/span&gt;
Válassza a Home BIN8110 hőtárolós smart fűtőtestet az okos és energiatakarékos fűtésért otthonában!</t>
        </is>
      </c>
    </row>
    <row r="2125">
      <c r="A2125" s="3" t="inlineStr">
        <is>
          <t>FK 330</t>
        </is>
      </c>
      <c r="B2125" s="2" t="inlineStr">
        <is>
          <t>Home FK 330 álló konvektor fűtőtest, 750W/1250W/2000W, fehér</t>
        </is>
      </c>
      <c r="C2125" s="1" t="n">
        <v>11790.0</v>
      </c>
      <c r="D2125" s="7" t="n">
        <f>HYPERLINK("https://www.somogyi.hu/product/home-fk-330-allo-konvektor-futotest-750w-1250w-2000w-feher-fk-330-15971","https://www.somogyi.hu/product/home-fk-330-allo-konvektor-futotest-750w-1250w-2000w-feher-fk-330-15971")</f>
        <v>0.0</v>
      </c>
      <c r="E2125" s="7" t="n">
        <f>HYPERLINK("https://www.somogyi.hu/data/img/product_main_images/small/15971.jpg","https://www.somogyi.hu/data/img/product_main_images/small/15971.jpg")</f>
        <v>0.0</v>
      </c>
      <c r="F2125" s="2" t="inlineStr">
        <is>
          <t>5999084940058</t>
        </is>
      </c>
      <c r="G2125" s="4" t="inlineStr">
        <is>
          <t>Szeretné otthonát gyorsan és hatékonyan felmelegíteni egy modern konvektor fűtőtest segítségével? A Home FK 330 álló konvektor fűtőtest ideális választás, ha megbízható és hatékony fűtésre vágyik. 
Ez az elegáns, fehér színű készülék három fűtési fokozattal rendelkezik: 750 W, 1250 W és 2000 W, így könnyedén szabályozhatja a hőmérsékletet az igényeinek megfelelően. Az álló elhelyezésű fűtőtest kompakt méretének (53 x 38 x 20 cm) és könnyű súlyának (1,9 kg) köszönhetően könnyedén mozgatható és elhelyezhető bármely helyiségben. A beépített termosztát lehetővé teszi a kívánt hőmérséklet pontos beállítását, így mindig kellemes meleget biztosít. A fűtőtest ideális akár 30 m²-es helyiségek fűtésére is, ezáltal tökéletes választás nappalik, hálószobák vagy irodák számára. Fontos megjegyezni, hogy a készülék nem alkalmas fürdőszobai telepítésre.
A Home FK 330 konvektor fűtőtest kizárólag jól szigetelt helyiségek fűtésére alkalmas, ezzel is biztosítva az energiatakarékosságot. A készülék 230 V~ / 50 Hz tápellátással működik, és 1,6 méter hosszú tápkábellel rendelkezik, amely rugalmas elhelyezést tesz lehetővé.
Ne hagyja, hogy a hideg megzavarja otthona kényelmét – rendelje meg a Home FK 330 álló konvektor fűtőtestet még ma, és élvezze a gyors és hatékony fűtést minden nap!</t>
        </is>
      </c>
    </row>
    <row r="2126">
      <c r="A2126" s="3" t="inlineStr">
        <is>
          <t>E176113</t>
        </is>
      </c>
      <c r="B2126" s="2" t="inlineStr">
        <is>
          <t>Noirot E176113 Spot Design 1000 BL konvektor fűtőtest, 1000 W, alumínium fűtőelem, falra szerelhető vagy szabadon álló, napi és heti programozás</t>
        </is>
      </c>
      <c r="C2126" s="1" t="n">
        <v>57890.0</v>
      </c>
      <c r="D2126" s="7" t="n">
        <f>HYPERLINK("https://www.somogyi.hu/product/noirot-e176113-spot-design-1000-bl-konvektor-futotest-1000-w-aluminium-futoelem-falra-szerelheto-vagy-szabadon-allo-napi-es-heti-programozas-e176113-18944","https://www.somogyi.hu/product/noirot-e176113-spot-design-1000-bl-konvektor-futotest-1000-w-aluminium-futoelem-falra-szerelheto-vagy-szabadon-allo-napi-es-heti-programozas-e176113-18944")</f>
        <v>0.0</v>
      </c>
      <c r="E2126" s="7" t="n">
        <f>HYPERLINK("https://www.somogyi.hu/data/img/product_main_images/small/18944.jpg","https://www.somogyi.hu/data/img/product_main_images/small/18944.jpg")</f>
        <v>0.0</v>
      </c>
      <c r="F2126" s="2" t="inlineStr">
        <is>
          <t>3465700054079</t>
        </is>
      </c>
      <c r="G2126" s="4" t="inlineStr">
        <is>
          <t>Hogyan érheti el a tökéletes hőmérsékletet otthonában, miközben energiatakarékos és elegáns megoldást választ? A Noirot E176113 Spot Design 1000 BL konvektor fűtőtest a tökéletes választás azok számára, akik modern és hatékony fűtési megoldást keresnek. 
Ez az 1000 W teljesítményű fűtőtest kiválóan alkalmas kisebb helyiségek fűtésére, ahol fontos a gyors és egyenletes hőelosztás. Az alumínium fűtőelem biztosítja a hatékony működést, míg a készülék kompakt mérete (440x420x104 mm) lehetővé teszi, hogy diszkréten illeszkedjen bármely belső térbe. A termék elegáns, szatén fehér színű kialakítása a francia formatervezés esztétikáját tükrözi, miközben maximális hatékonyságot nyújt.
Fejlett technológia a kényelmes mindennapokért
A Noirot Spot Design konvektor fűtőtest beépített digitális termosztáttal és elektronikus vezérléssel van felszerelve, amely lehetővé teszi a napi és heti programozást, így mindig az Ön igényeihez igazodó hőmérsékletet biztosít. A három előre beállított program mellett három testre szabható program is elérhető, így személyre szabhatja a fűtési beállításokat. A nyitott ablak érzékelő automatikusan felismeri a hirtelen hőmérséklet-csökkenést, és ennek megfelelően szabályozza a fűtést, hogy elkerülje az energiafelesleget. A hőmérséklet kalibrálás tovább növeli a pontosságot, így mindig a kívánt hőmérsékletet érheti el.
Biztonság és sokoldalúság a legmagasabb szinten
A készülék IP24 védettséggel rendelkezik, ami lehetővé teszi, hogy nedves környezetben, például fürdőszobában is biztonságosan használható legyen. A gyermekzár funkció gondoskodik arról, hogy a kicsik ne tudjanak véletlenül változtatni a beállításokon, így otthona mindig biztonságban van. A Noirot E176113 Spot Design konvektor fűtőtestet falra szerelve is használhatja, de ha szabadon álló megoldást szeretne, külön megvásárolható a Noirot A691600 görgőkészlet, amely lehetővé teszi a fűtőtest könnyű áthelyezését.
Válassza a Noirot E176113 Spot Design 1000 BL konvektor fűtőtestet, és élvezze az európai minőséget és a francia dizájn eleganciáját minden nap!</t>
        </is>
      </c>
    </row>
    <row r="2127">
      <c r="A2127" s="3" t="inlineStr">
        <is>
          <t>FKIR 351 WIFI</t>
        </is>
      </c>
      <c r="B2127" s="2" t="inlineStr">
        <is>
          <t>Home FKIR 351 WIFI falra szerelhető, infra smart elektromos hibrid fűtőtest, 350W, heti program, távirányító, fehér</t>
        </is>
      </c>
      <c r="C2127" s="1" t="n">
        <v>47690.0</v>
      </c>
      <c r="D2127" s="7" t="n">
        <f>HYPERLINK("https://www.somogyi.hu/product/home-fkir-351-wifi-falra-szerelheto-infra-smart-elektromos-hibrid-futotest-350w-heti-program-taviranyito-feher-fkir-351-wifi-17341","https://www.somogyi.hu/product/home-fkir-351-wifi-falra-szerelheto-infra-smart-elektromos-hibrid-futotest-350w-heti-program-taviranyito-feher-fkir-351-wifi-17341")</f>
        <v>0.0</v>
      </c>
      <c r="E2127" s="7" t="n">
        <f>HYPERLINK("https://www.somogyi.hu/data/img/product_main_images/small/17341.jpg","https://www.somogyi.hu/data/img/product_main_images/small/17341.jpg")</f>
        <v>0.0</v>
      </c>
      <c r="F2127" s="2" t="inlineStr">
        <is>
          <t>5999084953638</t>
        </is>
      </c>
      <c r="G2127" s="4" t="inlineStr">
        <is>
          <t>Hogyan vezérelheti otthona fűtését bárhonnan, bármikor? A Home FKIR 351 WIFI fali infra smart elektromos hibrid fűtőtest a megoldás, amely kényelmet és hatékonyságot kínál modern otthonában.
Ez a falra szerelhető fűtőtest 350 W teljesítménnyel rendelkezik, és ötvözi az infrapanelek kellemes, gazdaságos üzemeltetését a klasszikus fűtési módok által megszokott hőérzettel. Az érintőgombokkal, távirányítóval és okostelefonos alkalmazással is szabályozható készülék lehetővé teszi, hogy távolról is vezérelje otthoni WiFi hálózatán keresztül, így mindig biztos lehet a megfelelő hőmérsékletben.
A Home FKIR 351 WIFI fűtőtest elektronikus termosztátszabályozással rendelkezik, amely pontosan beállítja a kívánt hőmérsékletet. A heti programozás lehetősége további rugalmasságot biztosít, így előre beállíthatja a fűtési ciklusokat a hét minden napjára. Az automatikus kikapcsolás túlmelegedés esetén garantálja a maximális biztonságot, megvédve otthonát és szeretteit.
A készülék kompakt méretei (50x60x5,5 cm) lehetővé teszik a helytakarékos elhelyezést, miközben elegáns, fehér színével minden enteriőrbe illeszkedik. Az okostelefonos alkalmazás használata egyszerű és intuitív, így bárki könnyedén beállíthatja a kívánt hőmérsékletet.
Ne maradjon le erről a modern fűtési megoldásról! Szerezze be most a Home FKIR 351 WIFI fali infra smart elektromos hibrid fűtőtestet, és élvezze a távolról is szabályozható, kényelmes és hatékony fűtést otthonában!</t>
        </is>
      </c>
    </row>
    <row r="2128">
      <c r="A2128" s="3" t="inlineStr">
        <is>
          <t>A691600</t>
        </is>
      </c>
      <c r="B2128" s="2" t="inlineStr">
        <is>
          <t>Noirot A691600 görgőkészlet</t>
        </is>
      </c>
      <c r="C2128" s="1" t="n">
        <v>6990.0</v>
      </c>
      <c r="D2128" s="7" t="n">
        <f>HYPERLINK("https://www.somogyi.hu/product/noirot-a691600-gorgokeszlet-a691600-18978","https://www.somogyi.hu/product/noirot-a691600-gorgokeszlet-a691600-18978")</f>
        <v>0.0</v>
      </c>
      <c r="E2128" s="7" t="n">
        <f>HYPERLINK("https://www.somogyi.hu/data/img/product_main_images/small/18978.jpg","https://www.somogyi.hu/data/img/product_main_images/small/18978.jpg")</f>
        <v>0.0</v>
      </c>
      <c r="F2128" s="2" t="inlineStr">
        <is>
          <t>5999084969721</t>
        </is>
      </c>
      <c r="G2128" s="4" t="inlineStr">
        <is>
          <t>Szeretné egyszerűen áthelyezni Noirot konvektorait egyik helyiségből a másikba? A Noirot A691600 görgőkészlet tökéletes megoldást kínál, ha a konvektorait rugalmasan szeretné használni otthonában. 
Ez a kiváló minőségű kiegészítő minden kompatibilis Noirot modellhez illeszkedik, így bármelyik készülék mobilissá tehető. A könnyen felszerelhető kerekek stabil szerkezetet biztosítanak, megkönnyítve a radiátor gyors és egyszerű áthelyezését a kívánt helyiségbe, hogy mindig ott biztosítson meleget, ahol szüksége van rá.
A Noirot A691600 görgőkészlet fehér színe tökéletesen illeszkedik a konvektorok elegáns megjelenéséhez, és diszkréten illeszkedik bármilyen enteriőrbe. Egy pár/csomag tartalmazza a teljes felszereléshez szükséges elemeket, így pillanatok alatt használatba veheti. A stabil szerkezet biztosítja, hogy a radiátor mindig biztonságosan álljon a helyén, miközben könnyedén mozgatható marad.
Válassza a Noirot A691600 görgőkészletet, és tegye konvektorait még praktikusabbá és mobilabbá!</t>
        </is>
      </c>
    </row>
    <row r="2129">
      <c r="A2129" s="3" t="inlineStr">
        <is>
          <t>FK 410 WIFI</t>
        </is>
      </c>
      <c r="B2129" s="2" t="inlineStr">
        <is>
          <t>Home FK 410 WIFI álló vagy falra szerelhető SMART konvektor fűtőtest, 500W/1000W, fehér</t>
        </is>
      </c>
      <c r="C2129" s="1" t="n">
        <v>39190.0</v>
      </c>
      <c r="D2129" s="7" t="n">
        <f>HYPERLINK("https://www.somogyi.hu/product/home-fk-410-wifi-allo-vagy-falra-szerelheto-smart-konvektor-futotest-500w-1000w-feher-fk-410-wifi-16458","https://www.somogyi.hu/product/home-fk-410-wifi-allo-vagy-falra-szerelheto-smart-konvektor-futotest-500w-1000w-feher-fk-410-wifi-16458")</f>
        <v>0.0</v>
      </c>
      <c r="E2129" s="7" t="n">
        <f>HYPERLINK("https://www.somogyi.hu/data/img/product_main_images/small/16458.jpg","https://www.somogyi.hu/data/img/product_main_images/small/16458.jpg")</f>
        <v>0.0</v>
      </c>
      <c r="F2129" s="2" t="inlineStr">
        <is>
          <t>5999084944902</t>
        </is>
      </c>
      <c r="G2129" s="4" t="inlineStr">
        <is>
          <t>Szeretné otthonát okosan és hatékonyan fűteni, miközben a fűtőtestet távolról is vezérelheti? A Home FK 410 WIFI álló vagy falra szerelhető SMART konvektor fűtőtest kiváló választás minden modern otthon számára. 
Ez a fehér színű, elegáns készülék két fűtési fokozattal rendelkezik: 500 W és 1000 W, így könnyedén beállíthatja a kívánt hőmérsékletet az igényeinek megfelelően. A fém burkolat hosszú élettartamot és strapabíróságot biztosít. A fűtőtest különlegessége a WiFi kapcsolat, amely lehetővé teszi, hogy okostelefonos alkalmazással bárhonnan vezérelje a készüléket. Az érintőgombok és a gyerekzár további kényelmet és biztonságot nyújtanak. 
A beállítható hőmérséklet tartománya 5 °C és 40 °C között van, így mindig az igényeinek megfelelően fűthet. A Home FK 410 fűtőtest IPX4 védettségi fokozattal rendelkezik, ami azt jelenti, hogy fröccsenő víz ellen védett, így akár fürdőszobában is telepíthető. Az időzítési funkcióval előre beállíthatja a kikapcsolás idejét, így energiatakarékosan használhatja a készüléket. Az eszköz ideális akár 15 m²-es helyiségek fűtésére is, legyen szó nappaliról, hálószobáról vagy irodáról. A fűtőtest padlón állva 60 x 43 x 24 cm méretű, falra szerelve pedig 60 x 38 x 9 cm. A készülék súlya 4,8 kg, így könnyen mozgatható és telepíthető. A 1,5 méter hosszú tápkábel és a 230 V~ / 50 Hz tápellátás biztosítja a rugalmas elhelyezést és a megbízható működést.
Ne hagyja ki ezt a lehetőséget, hogy otthonában mindig kellemes meleget teremtsen – rendelje meg a Home FK 410 WIFI SMART konvektor fűtőtestet még ma, és élvezze a modern technológia nyújtotta kényelmet minden nap!</t>
        </is>
      </c>
    </row>
    <row r="2130">
      <c r="A2130" s="3" t="inlineStr">
        <is>
          <t>FK 344</t>
        </is>
      </c>
      <c r="B2130" s="2" t="inlineStr">
        <is>
          <t>Home FK 344 álló elektromos konvektor turbó fűtőtest, 750W/1250W/2000W, fehér</t>
        </is>
      </c>
      <c r="C2130" s="1" t="n">
        <v>18590.0</v>
      </c>
      <c r="D2130" s="7" t="n">
        <f>HYPERLINK("https://www.somogyi.hu/product/home-fk-344-allo-elektromos-konvektor-turbo-futotest-750w-1250w-2000w-feher-fk-344-17339","https://www.somogyi.hu/product/home-fk-344-allo-elektromos-konvektor-turbo-futotest-750w-1250w-2000w-feher-fk-344-17339")</f>
        <v>0.0</v>
      </c>
      <c r="E2130" s="7" t="n">
        <f>HYPERLINK("https://www.somogyi.hu/data/img/product_main_images/small/17339.jpg","https://www.somogyi.hu/data/img/product_main_images/small/17339.jpg")</f>
        <v>0.0</v>
      </c>
      <c r="F2130" s="2" t="inlineStr">
        <is>
          <t>5999084953614</t>
        </is>
      </c>
      <c r="G2130" s="4" t="inlineStr">
        <is>
          <t>Olyan fűtőtestet keres, amely gyorsan felmelegíti a helyiséget, miközben energiatakarékos és biztonságos? A Home FK 344 álló konvektor turbó fűtőtest ideális megoldás otthona gyors és hatékony fűtésére. 
Ez a stílusos, fehér színű készülék három fűtési fokozattal rendelkezik: 750 W, 1250 W és 2000 W, így bármikor beállíthatja az igényeinek megfelelő hőmérsékletet. A kapcsolható turbóventilátor funkció lehetővé teszi a gyorsabb hőelosztást, így még hatékonyabbá teszi a fűtést. A beépített termosztátszabályozás segítségével pontosan beállíthatja a kívánt hőmérsékletet, biztosítva ezzel az optimális komfortot. A készülék automatikus kikapcsolással rendelkezik túlmelegedés esetén, garantálva ezzel a biztonságos használatot. A Home FK 344 szabadon álló kivitelének köszönhetően bárhol könnyedén elhelyezhető a lakásban.
A készülék méretei 69 x 39 x 19 cm, így kompakt és helytakarékos megoldást kínál. Ideális választás akár nagyobb helyiségek fűtésére is, hiszen a három különböző teljesítményfokozat segítségével mindig az adott helyzethez igazíthatja a fűtést.
Ne várjon tovább, tegye otthonát még kényelmesebbé és melegebbé a Home FK 344 álló konvektor turbó fűtőtesttel – rendelje meg most, és élvezze a gyors és hatékony fűtést minden nap!</t>
        </is>
      </c>
    </row>
    <row r="2131">
      <c r="A2131" s="3" t="inlineStr">
        <is>
          <t>FK 420 WIFI</t>
        </is>
      </c>
      <c r="B2131" s="2" t="inlineStr">
        <is>
          <t>Home FK 420 WIFI álló vagy falra szerelhető SMART konvektor fűtőtest, 1000W/2000W, fehér</t>
        </is>
      </c>
      <c r="C2131" s="1" t="n">
        <v>47690.0</v>
      </c>
      <c r="D2131" s="7" t="n">
        <f>HYPERLINK("https://www.somogyi.hu/product/home-fk-420-wifi-allo-vagy-falra-szerelheto-smart-konvektor-futotest-1000w-2000w-feher-fk-420-wifi-16459","https://www.somogyi.hu/product/home-fk-420-wifi-allo-vagy-falra-szerelheto-smart-konvektor-futotest-1000w-2000w-feher-fk-420-wifi-16459")</f>
        <v>0.0</v>
      </c>
      <c r="E2131" s="7" t="n">
        <f>HYPERLINK("https://www.somogyi.hu/data/img/product_main_images/small/16459.jpg","https://www.somogyi.hu/data/img/product_main_images/small/16459.jpg")</f>
        <v>0.0</v>
      </c>
      <c r="F2131" s="2" t="inlineStr">
        <is>
          <t>5999084944919</t>
        </is>
      </c>
      <c r="G2131" s="4" t="inlineStr">
        <is>
          <t>Szeretné otthonát egy olyan fűtőtesttel felszerelni, amelyet távolról is vezérelhet okostelefonja segítségével? A Home FK 420 WIFI álló vagy falra szerelhető SMART konvektor fűtőtest ideális választás minden modern otthon számára. 
Ez a stílusos fehér színű készülék két fűtési fokozattal rendelkezik: 1000 W és 2000 W, így bármikor az igényeinek megfelelő hőmérsékletet biztosíthat. Az érintőgombokkal vagy okostelefonos alkalmazással könnyedén szabályozhatja a készüléket, akár távolról is. Az elektronikus termosztát segítségével pontosan beállíthatja a kívánt hőmérsékletet, míg a kikapcsolásidőzítés funkció lehetővé teszi, hogy előre meghatározza a fűtés időtartamát. 
Az IPX4 védelem biztosítja, hogy a készülék fröccsenő víz ellen is védett legyen, így akár fürdőszobában is használható. A gyerekzár további biztonságot nyújt, megakadályozva a véletlen beállítás változtatásokat. A készülék automatikus kikapcsolása túlmelegedés esetén garantálja a biztonságos működést. A Home FK 420 WIFI konvektor szabadon álló vagy falra szerelhető kivitelének köszönhetően bárhol elhelyezhető a lakásban. A padlón állva a készülék mérete 92 x 43 x 24 cm, falra szerelve pedig 92 x 38 x 9 cm, így kompakt és helytakarékos megoldást kínál.
Ne hagyja ki ezt a lehetőséget, hogy otthonában mindig kellemes meleget biztosítson – rendelje meg a Home FK 420 WIFI SMART konvektor fűtőtestet még ma, és élvezze a modern technológia nyújtotta kényelmet minden nap!</t>
        </is>
      </c>
    </row>
    <row r="2132">
      <c r="A2132" s="3" t="inlineStr">
        <is>
          <t>FKM 450</t>
        </is>
      </c>
      <c r="B2132" s="2" t="inlineStr">
        <is>
          <t>Home FKM 450 elektromos fagyőr fűtőtest, 450W, mechanikus termosztát, IP20 védelem, fehér</t>
        </is>
      </c>
      <c r="C2132" s="1" t="n">
        <v>9790.0</v>
      </c>
      <c r="D2132" s="7" t="n">
        <f>HYPERLINK("https://www.somogyi.hu/product/home-fkm-450-elektromos-fagyor-futotest-450w-mechanikus-termosztat-ip20-vedelem-feher-fkm-450-15980","https://www.somogyi.hu/product/home-fkm-450-elektromos-fagyor-futotest-450w-mechanikus-termosztat-ip20-vedelem-feher-fkm-450-15980")</f>
        <v>0.0</v>
      </c>
      <c r="E2132" s="7" t="n">
        <f>HYPERLINK("https://www.somogyi.hu/data/img/product_main_images/small/15980.jpg","https://www.somogyi.hu/data/img/product_main_images/small/15980.jpg")</f>
        <v>0.0</v>
      </c>
      <c r="F2132" s="2" t="inlineStr">
        <is>
          <t>5999084940140</t>
        </is>
      </c>
      <c r="G2132" s="4" t="inlineStr">
        <is>
          <t>Egy hatékony megoldást keres, hogy megvédje otthonát a fagyoktól a hideg téli hónapokban? A Home FKM 450 elektromos fagyőr fűtőtest ideális választás a kisebb helyiségek fagyvédelmére. 
Az elegáns, fehér színű készülék 450 W-os fűtési fokozattal rendelkezik, amely biztosítja, hogy akár a legkisebb helyiségek is melegen maradjanak. Az álló elhelyezésű fűtőtest könnyedén integrálható bármilyen szobába, és kis méretének köszönhetően (30 x 28,5 x 18 cm) nem foglal sok helyet. A mechanikus termosztát segítségével egyszerűen beállíthatja a kívánt hőmérsékletet 5 °C és 30 °C között, így mindig az optimális komfortot biztosíthatja. Az ideális helyiségméret 7 m², így kiválóan alkalmas kisebb szobák, pincék vagy fagyveszélyes helyiségek fűtésére.
A fagyőr funkció különösen hasznos, mivel automatikusan bekapcsol, ha a hőmérséklet 5 °C alá esik, megakadályozva a helyiség lehűlését és a vízvezetékek elfagyását. A készülék IP20 védettségi fokozattal rendelkezik, és túlmelegedés elleni védelemmel van ellátva, így biztonságosan használható. A fűtőtest 1,5 méter hosszú tápkábellel és 230 V-os tápellátással működik. Kis tömegének (1 kg) köszönhetően könnyen mozgatható és elhelyezhető bárhol a lakásban. A termék kizárólag jól szigetelt helyiségek fűtésére vagy alkalmankénti használatra alkalmas, így gazdaságos és praktikus megoldást nyújt minden otthonban.
Ne hagyja, hogy a hideg tönkretegye otthona kényelmét – rendelje meg a Home FKM 450 elektromos fagyőr fűtőtestet még ma, és élvezze a meleg és biztonságos környezetet a téli hónapokban is!</t>
        </is>
      </c>
    </row>
    <row r="2133">
      <c r="A2133" s="3" t="inlineStr">
        <is>
          <t>E211123</t>
        </is>
      </c>
      <c r="B2133" s="2" t="inlineStr">
        <is>
          <t>Noirot E211123 Verlys 1000 NR elektromos radiátor, 1000 W, konvektív és infravörös fűtési mód, IP24 védettség, edzett üveg előlap, antracit szürke</t>
        </is>
      </c>
      <c r="C2133" s="1" t="n">
        <v>222990.0</v>
      </c>
      <c r="D2133" s="7" t="n">
        <f>HYPERLINK("https://www.somogyi.hu/product/noirot-e211123-verlys-1000-nr-elektromos-radiator-1000-w-konvektiv-es-infravoros-futesi-mod-ip24-vedettseg-edzett-uveg-elolap-antracit-szurke-e211123-18972","https://www.somogyi.hu/product/noirot-e211123-verlys-1000-nr-elektromos-radiator-1000-w-konvektiv-es-infravoros-futesi-mod-ip24-vedettseg-edzett-uveg-elolap-antracit-szurke-e211123-18972")</f>
        <v>0.0</v>
      </c>
      <c r="E2133" s="7" t="n">
        <f>HYPERLINK("https://www.somogyi.hu/data/img/product_main_images/small/18972.jpg","https://www.somogyi.hu/data/img/product_main_images/small/18972.jpg")</f>
        <v>0.0</v>
      </c>
      <c r="F2133" s="2" t="inlineStr">
        <is>
          <t>3465700054758</t>
        </is>
      </c>
      <c r="G2133" s="4" t="inlineStr">
        <is>
          <t>Hogyan élvezhet kényelmes meleget, miközben energiát takarít meg otthonában? A Noirot E211123 Verlys 1000 NR elektromos radiátor a tökéletes választás, ha egyszerre szeretne gyorsan felfűtött helyiségeket és energiahatékony megoldást. 
Az 1000 W teljesítményű radiátor ötvözi a konvektív és az infravörös fűtési technológiát, hogy maximális hatékonysággal melegítse fel otthonát. A modern, 6 mm vastag edzett üveg előlap nemcsak stílusos megjelenést nyújt, hanem a teljesítmény 20%-át is sugárzó hő formájában bocsátja ki a rányomtatott fűtőfólia segítségével, míg a készülék 80%-át az alumínium reaktív sugárzó biztosítja a gyors felmelegedéshez.
Fejlett funkciók a maximális kényelemért
A radiátor IP24 védettséggel rendelkezik, ami lehetővé teszi a biztonságos használatot akár fürdőszobában is. A nyitott ablak érzékelő automatikusan csökkenti a fűtést, ha huzatot észlel, ezáltal elkerüli az energiapazarlást. Heti programozási lehetőséggel és három előre beállított, valamint három testre szabható programmal a fűtés teljesen igazítható az Ön időbeosztásához. A 0,1 tized fokos pontosságú beépített termosztát és LCD kijelző gondoskodik arról, hogy mindig a kívánt hőmérsékletet tartsa.
Biztonság és rugalmasság minden helyzetben
A Noirot Verlys 1000 NR radiátor gyermekzárral és PIN-kódos lezárással védi a beállításokat, így gyerekek vagy illetéktelenek nem módosíthatják azokat. A 6 órás memória áramszünet esetére megőrzi a beállításokat, így nem kell újra konfigurálnia a készüléket. A radiátor fali és szabadon álló kivitelben is használható, de szabadon álló megoldáshoz külön megvásárolható görgőkészlet szükséges. Az elegáns antracit szürke szín és a kompakt méret (480x600x95 mm) modern megjelenést biztosít, míg a 8,5 kg-os tömeg stabil elhelyezést garantál.
Válassza a Noirot E211123 Verlys 1000 NR elektromos radiátort, és tapasztalja meg az intelligens, energiatakarékos fűtés előnyeit! Rendelje meg most, és élvezze otthona kényelmét a téli hidegben is!</t>
        </is>
      </c>
    </row>
    <row r="2134">
      <c r="A2134" s="3" t="inlineStr">
        <is>
          <t>E176111</t>
        </is>
      </c>
      <c r="B2134" s="2" t="inlineStr">
        <is>
          <t>Noirot E176111 Spot Design 500 BL konvektor fűtőtest, 500 W, alumínium fűtőelem, falra szerelhető vagy szabadon álló, napi és heti programozás</t>
        </is>
      </c>
      <c r="C2134" s="1" t="n">
        <v>55790.0</v>
      </c>
      <c r="D2134" s="7" t="n">
        <f>HYPERLINK("https://www.somogyi.hu/product/noirot-e176111-spot-design-500-bl-konvektor-futotest-500-w-aluminium-futoelem-falra-szerelheto-vagy-szabadon-allo-napi-es-heti-programozas-e176111-18943","https://www.somogyi.hu/product/noirot-e176111-spot-design-500-bl-konvektor-futotest-500-w-aluminium-futoelem-falra-szerelheto-vagy-szabadon-allo-napi-es-heti-programozas-e176111-18943")</f>
        <v>0.0</v>
      </c>
      <c r="E2134" s="7" t="n">
        <f>HYPERLINK("https://www.somogyi.hu/data/img/product_main_images/small/18943.jpg","https://www.somogyi.hu/data/img/product_main_images/small/18943.jpg")</f>
        <v>0.0</v>
      </c>
      <c r="F2134" s="2" t="inlineStr">
        <is>
          <t>3465700054062</t>
        </is>
      </c>
      <c r="G2134" s="4" t="inlineStr">
        <is>
          <t>Hogyan érheti el a tökéletes hőmérsékletet otthonában, miközben energiatakarékos és elegáns megoldást választ? A Noirot E176111 Spot Design 500 BL konvektor fűtőtest a tökéletes választás azok számára, akik modern és hatékony fűtési megoldást keresnek. 
Ez az 500 W teljesítményű fűtőtest kiválóan alkalmas kisebb helyiségek fűtésére, ahol fontos a gyors és egyenletes hőelosztás. Az alumínium fűtőelem biztosítja a hatékony működést, míg a készülék kompakt mérete (440x340x104 mm) lehetővé teszi, hogy diszkréten illeszkedjen bármely belső térbe. A termék elegáns, szatén fehér színű kialakítása a francia formatervezés esztétikáját tükrözi, miközben maximális hatékonyságot nyújt.
Fejlett technológia a kényelmes mindennapokért
A Noirot Spot Design konvektor fűtőtest beépített digitális termosztáttal és elektronikus vezérléssel van felszerelve, amely lehetővé teszi a napi és heti programozást, így mindig az Ön igényeihez igazodó hőmérsékletet biztosít. A három előre beállított program mellett három testre szabható program is elérhető, így személyre szabhatja a fűtési beállításokat. A nyitott ablak érzékelő automatikusan felismeri a hirtelen hőmérséklet-csökkenést, és ennek megfelelően szabályozza a fűtést, hogy elkerülje az energiafelesleget. A hőmérséklet kalibrálás tovább növeli a pontosságot, így mindig a kívánt hőmérsékletet érheti el.
Biztonság és sokoldalúság a legmagasabb szinten
A készülék IP24 védettséggel rendelkezik, ami lehetővé teszi, hogy nedves környezetben, például fürdőszobában is biztonságosan használható legyen. A gyermekzár funkció gondoskodik arról, hogy a kicsik ne tudjanak véletlenül változtatni a beállításokon, így otthona mindig biztonságban van. A Noirot E176111 Spot Design konvektor fűtőtestet falra szerelve is használhatja, de ha szabadon álló megoldást szeretne, külön megvásárolható a Noirot A691600 görgőkészlet, amely lehetővé teszi a fűtőtest könnyű áthelyezését.
Válassza a Noirot E176111 Spot Design 500 BL konvektor fűtőtestet, és élvezze az európai minőséget és a francia dizájn eleganciáját minden nap!</t>
        </is>
      </c>
    </row>
    <row r="2135">
      <c r="A2135" s="3" t="inlineStr">
        <is>
          <t>E211117</t>
        </is>
      </c>
      <c r="B2135" s="2" t="inlineStr">
        <is>
          <t>Noirot E211117 Verlys 2000 BLY elektromos radiátor, 2000 W, konvektív és infravörös fűtési mód, IP24 védettség, edzett üveg előlap, fehér színű</t>
        </is>
      </c>
      <c r="C2135" s="1" t="n">
        <v>279990.0</v>
      </c>
      <c r="D2135" s="7" t="n">
        <f>HYPERLINK("https://www.somogyi.hu/product/noirot-e211117-verlys-2000-bly-elektromos-radiator-2000-w-konvektiv-es-infravoros-futesi-mod-ip24-vedettseg-edzett-uveg-elolap-feher-szinu-e211117-18971","https://www.somogyi.hu/product/noirot-e211117-verlys-2000-bly-elektromos-radiator-2000-w-konvektiv-es-infravoros-futesi-mod-ip24-vedettseg-edzett-uveg-elolap-feher-szinu-e211117-18971")</f>
        <v>0.0</v>
      </c>
      <c r="E2135" s="7" t="n">
        <f>HYPERLINK("https://www.somogyi.hu/data/img/product_main_images/small/18971.jpg","https://www.somogyi.hu/data/img/product_main_images/small/18971.jpg")</f>
        <v>0.0</v>
      </c>
      <c r="F2135" s="2" t="inlineStr">
        <is>
          <t>3465700054741</t>
        </is>
      </c>
      <c r="G2135" s="4" t="inlineStr">
        <is>
          <t>Hogyan élvezhet kényelmes meleget, miközben energiát takarít meg otthonában? A Noirot E211117 Verlys 2000 BLY elektromos radiátor a tökéletes választás, ha egyszerre szeretne gyorsan felfűtött helyiségeket és energiahatékony megoldást. 
Az 2000 W teljesítményű radiátor ötvözi a konvektív és az infravörös fűtési technológiát, hogy maximális hatékonysággal melegítse fel otthonát. A modern, 6 mm vastag edzett üveg előlap nemcsak stílusos megjelenést nyújt, hanem a teljesítmény 20%-át is sugárzó hő formájában bocsátja ki a rányomtatott fűtőfólia segítségével, míg a készülék 80%-át az alumínium reaktív sugárzó biztosítja a gyors felmelegedéshez.
Fejlett funkciók a maximális kényelemért
A radiátor IP24 védettséggel rendelkezik, ami lehetővé teszi a biztonságos használatot akár fürdőszobában is. A nyitott ablak érzékelő automatikusan csökkenti a fűtést, ha huzatot észlel, ezáltal elkerüli az energiapazarlást. Heti programozási lehetőséggel és három előre beállított, valamint három testre szabható programmal a fűtés teljesen igazítható az Ön időbeosztásához. A 0,1 tized fokos pontosságú beépített termosztát és LCD kijelző gondoskodik arról, hogy mindig a kívánt hőmérsékletet tartsa.
Biztonság és rugalmasság minden helyzetben
A Noirot Verlys 2000 BLY radiátor gyermekzárral és PIN-kódos lezárással védi a beállításokat, így gyerekek vagy illetéktelenek nem módosíthatják azokat. A 6 órás memória áramszünet esetére megőrzi a beállításokat, így nem kell újra konfigurálnia a készüléket. A radiátor fali és szabadon álló kivitelben is használható, de szabadon álló megoldáshoz külön megvásárolható görgőkészlet szükséges. Az elegáns fehér szín és a kompakt méret (480x1000x95 mm) modern megjelenést biztosít, míg a 14,0 kg-os tömeg stabil elhelyezést garantál.
Válassza a Noirot E211117 Verlys 2000 BLY elektromos radiátort, és tapasztalja meg az intelligens, energiatakarékos fűtés előnyeit! Rendelje meg most, és élvezze otthona kényelmét a téli hidegben is!</t>
        </is>
      </c>
    </row>
    <row r="2136">
      <c r="A2136" s="3" t="inlineStr">
        <is>
          <t>BIN7100035496</t>
        </is>
      </c>
      <c r="B2136" s="2" t="inlineStr">
        <is>
          <t>Home BIN7100035496 hőtároló tégla ADXF fűtőtestekhez, 23x19x5 cm, 7,8 kg, származási hely: Cseh Köztársaság</t>
        </is>
      </c>
      <c r="C2136" s="1" t="n">
        <v>4190.0</v>
      </c>
      <c r="D2136" s="7" t="n">
        <f>HYPERLINK("https://www.somogyi.hu/product/home-bin7100035496-hotarolo-tegla-adxf-futotestekhez-23x19x5-cm-7-8-kg-szarmazasi-hely-cseh-koztarsasag-bin7100035496-18410","https://www.somogyi.hu/product/home-bin7100035496-hotarolo-tegla-adxf-futotestekhez-23x19x5-cm-7-8-kg-szarmazasi-hely-cseh-koztarsasag-bin7100035496-18410")</f>
        <v>0.0</v>
      </c>
      <c r="E2136" s="7" t="n">
        <f>HYPERLINK("https://www.somogyi.hu/data/img/product_main_images/small/18410.jpg","https://www.somogyi.hu/data/img/product_main_images/small/18410.jpg")</f>
        <v>0.0</v>
      </c>
      <c r="F2136" s="2" t="inlineStr">
        <is>
          <t>5999084964283</t>
        </is>
      </c>
      <c r="G2136" s="4" t="inlineStr">
        <is>
          <t>Szeretné hatékonyan fűteni otthonát? A Home BIN7100035496 hőtároló tégla ideális megoldás, amely kiválóan tárolja és egyenletesen sugározza vissza a meleget. A hőtároló tégla a BIN8110 és BIN8210 Hőtárolós smart fűtőtestek tartozéka.
A tégla mérete 23 x 19 x 5 cm, tömege 7,8 kg, és a Cseh Köztársaságból származik, ezzel garantálva a megbízhatóságot és a minőséget. &lt;strong&gt;A téglák kettő darabonként vannak csomagolva, de a feltüntetett ár 1 db termékre vonatkozik. Ne feledje, hogy fűtőtestek megrendelése esetén az azokhoz adott számú tégla megrendelése kötelező.&lt;/strong&gt;
Tegye hatékonyabbá fűtésrendszerét minőségi hőtárolós fűtőtesteinkkel és hőtároló tégláinkkal, és élvezze a hosszabb ideig tartó, kellemes meleget!</t>
        </is>
      </c>
    </row>
    <row r="2137">
      <c r="A2137" s="3" t="inlineStr">
        <is>
          <t>FK 430 WIFI</t>
        </is>
      </c>
      <c r="B2137" s="2" t="inlineStr">
        <is>
          <t>Home FK 430 WIFI álló vagy falra szerelhető SMART konvektor fűtőtest, 1000W/2000W, edzett üveg előlap, fekete</t>
        </is>
      </c>
      <c r="C2137" s="1" t="n">
        <v>48790.0</v>
      </c>
      <c r="D2137" s="7" t="n">
        <f>HYPERLINK("https://www.somogyi.hu/product/home-fk-430-wifi-allo-vagy-falra-szerelheto-smart-konvektor-futotest-1000w-2000w-edzett-uveg-elolap-fekete-fk-430-wifi-16460","https://www.somogyi.hu/product/home-fk-430-wifi-allo-vagy-falra-szerelheto-smart-konvektor-futotest-1000w-2000w-edzett-uveg-elolap-fekete-fk-430-wifi-16460")</f>
        <v>0.0</v>
      </c>
      <c r="E2137" s="7" t="n">
        <f>HYPERLINK("https://www.somogyi.hu/data/img/product_main_images/small/16460.jpg","https://www.somogyi.hu/data/img/product_main_images/small/16460.jpg")</f>
        <v>0.0</v>
      </c>
      <c r="F2137" s="2" t="inlineStr">
        <is>
          <t>5999084944926</t>
        </is>
      </c>
      <c r="G2137" s="4" t="inlineStr">
        <is>
          <t>Olyan elegáns és modern fűtőtestet keres, amelyet akár távolról is vezérelhet okostelefonjával? A Home FK 430 WIFI álló vagy falra szerelhető SMART konvektor fűtőtest kiváló választás minden modern otthon számára. 
Ez a stílusos fekete készülék edzett üveg előlappal rendelkezik, amely nemcsak elegáns megjelenést kölcsönöz, hanem tartósságot is biztosít. Két fűtési fokozata van: 1000 W és 2000 W, így bármikor az igényeinek megfelelően szabályozhatja a hőmérsékletet. A készülék érintőgombokkal és okostelefonos alkalmazással is vezérelhető, így akár távolról is kényelmesen irányíthatja a fűtést. Az elektronikus termosztát segítségével pontosan beállíthatja a kívánt hőmérsékletet, míg a kikapcsolásidőzítés funkcióval előre meghatározhatja a fűtés időtartamát. Az IPX4 védelem biztosítja, hogy a készülék fröccsenő víz ellen is védett legyen, így akár fürdőszobában is használható.
A Home FK 430 WIFI konvektor fűtőtest automatikus kikapcsolása túlmelegedés esetén garantálja a biztonságos használatot. A gyerekzár funkció megakadályozza a véletlen beállítás változtatásokat, biztosítva ezzel a nyugodt használatot. A fűtőtest szabadon álló vagy falra szerelhető kivitelének köszönhetően rugalmasan elhelyezhető a lakás bármely pontján.
A készülék mérete padlón állva 92 x 43 x 24 cm, falra szerelve pedig 92 x 38 x 9 cm, így kompakt és helytakarékos megoldást kínál. A Wi-Fi kapcsolaton keresztül történő vezérlés révén bármikor szabályozhatja otthona hőmérsékletét, növelve ezzel a kényelmet és az energiahatékonyságot.
Ne várjon tovább, tegye otthonát még kényelmesebbé és modernebbé a Home FK 430 WIFI SMART konvektor fűtőtesttel – rendelje meg most, és élvezze a modern technológia nyújtotta kényelmet minden nap!</t>
        </is>
      </c>
    </row>
    <row r="2138">
      <c r="A2138" s="3" t="inlineStr">
        <is>
          <t>E211115</t>
        </is>
      </c>
      <c r="B2138" s="2" t="inlineStr">
        <is>
          <t>Noirot E211115 Verlys 1500 BLY elektromos radiátor, 1500 W, konvektív és infravörös fűtési mód, IP24 védettség, edzett üveg előlap, fehér színű</t>
        </is>
      </c>
      <c r="C2138" s="1" t="n">
        <v>249990.0</v>
      </c>
      <c r="D2138" s="7" t="n">
        <f>HYPERLINK("https://www.somogyi.hu/product/noirot-e211115-verlys-1500-bly-elektromos-radiator-1500-w-konvektiv-es-infravoros-futesi-mod-ip24-vedettseg-edzett-uveg-elolap-feher-szinu-e211115-18970","https://www.somogyi.hu/product/noirot-e211115-verlys-1500-bly-elektromos-radiator-1500-w-konvektiv-es-infravoros-futesi-mod-ip24-vedettseg-edzett-uveg-elolap-feher-szinu-e211115-18970")</f>
        <v>0.0</v>
      </c>
      <c r="E2138" s="7" t="n">
        <f>HYPERLINK("https://www.somogyi.hu/data/img/product_main_images/small/18970.jpg","https://www.somogyi.hu/data/img/product_main_images/small/18970.jpg")</f>
        <v>0.0</v>
      </c>
      <c r="F2138" s="2" t="inlineStr">
        <is>
          <t>3465700054734</t>
        </is>
      </c>
      <c r="G2138" s="4" t="inlineStr">
        <is>
          <t>Hogyan élvezhet kényelmes meleget, miközben energiát takarít meg otthonában? A Noirot E211115 Verlys 1500 BLY elektromos radiátor a tökéletes választás, ha egyszerre szeretne gyorsan felfűtött helyiségeket és energiahatékony megoldást. 
Az 1500 W teljesítményű radiátor ötvözi a konvektív és az infravörös fűtési technológiát, hogy maximális hatékonysággal melegítse fel otthonát. A modern, 6 mm vastag edzett üveg előlap nemcsak stílusos megjelenést nyújt, hanem a teljesítmény 20%-át is sugárzó hő formájában bocsátja ki a rányomtatott fűtőfólia segítségével, míg a készülék 80%-át az alumínium reaktív sugárzó biztosítja a gyors felmelegedéshez.
Fejlett funkciók a maximális kényelemért
A radiátor IP24 védettséggel rendelkezik, ami lehetővé teszi a biztonságos használatot akár fürdőszobában is. A nyitott ablak érzékelő automatikusan csökkenti a fűtést, ha huzatot észlel, ezáltal elkerüli az energiapazarlást. Heti programozási lehetőséggel és három előre beállított, valamint három testre szabható programmal a fűtés teljesen igazítható az Ön időbeosztásához. A 0,1 tized fokos pontosságú beépített termosztát és LCD kijelző gondoskodik arról, hogy mindig a kívánt hőmérsékletet tartsa.
Biztonság és rugalmasság minden helyzetben
A Noirot Verlys 1500 BLY radiátor gyermekzárral és PIN-kódos lezárással védi a beállításokat, így gyerekek vagy illetéktelenek nem módosíthatják azokat. A 6 órás memória áramszünet esetére megőrzi a beállításokat, így nem kell újra konfigurálnia a készüléket. A radiátor fali és szabadon álló kivitelben is használható, de szabadon álló megoldáshoz külön megvásárolható görgőkészlet szükséges. Az elegáns fehér szín és a kompakt méret (480x807x95 mm) modern megjelenést biztosít, míg a 11,5 kg-os tömeg stabil elhelyezést garantál.
Válassza a Noirot E211115 Verlys 1500 BLY elektromos radiátort, és tapasztalja meg az intelligens, energiatakarékos fűtés előnyeit! Rendelje meg most, és élvezze otthona kényelmét a téli hidegben is!</t>
        </is>
      </c>
    </row>
    <row r="2139">
      <c r="A2139" s="3" t="inlineStr">
        <is>
          <t>FKA 150</t>
        </is>
      </c>
      <c r="B2139" s="2" t="inlineStr">
        <is>
          <t>Home FKA 150 fali fűtőtest 1250/1500W, heti program, fagyőr funkció, fehér</t>
        </is>
      </c>
      <c r="C2139" s="1" t="n">
        <v>59290.0</v>
      </c>
      <c r="D2139" s="7" t="n">
        <f>HYPERLINK("https://www.somogyi.hu/product/home-fka-150-fali-futotest-1250-1500w-heti-program-fagyor-funkcio-feher-fka-150-17756","https://www.somogyi.hu/product/home-fka-150-fali-futotest-1250-1500w-heti-program-fagyor-funkcio-feher-fka-150-17756")</f>
        <v>0.0</v>
      </c>
      <c r="E2139" s="7" t="n">
        <f>HYPERLINK("https://www.somogyi.hu/data/img/product_main_images/small/17756.jpg","https://www.somogyi.hu/data/img/product_main_images/small/17756.jpg")</f>
        <v>0.0</v>
      </c>
      <c r="F2139" s="2" t="inlineStr">
        <is>
          <t>5999084957780</t>
        </is>
      </c>
      <c r="G2139" s="4" t="inlineStr">
        <is>
          <t>Hogyan biztosíthat otthonában egyenletes és gazdaságos fűtést egyszerűen? A Home FKA 150 fali fűtőtest ideális választás, amely nemcsak hatékony, hanem stílusos is.
Ez a fali fűtőtest 1500 W névleges teljesítménnyel rendelkezik, 1250-1500 W tartományban működve. Az alumínium fűtőelem biztosítja a gyors és hatékony hőleadást, miközben csendes és gazdaságos működést garantál. A lineáris felmelegedés és az egyenletes hőelosztás révén minden helyiségben optimális hőmérsékletet teremt.
A Home FKA 150 minimalista megjelenésével bármilyen lakótérbe tökéletesen illeszkedik. Falra szerelhető kivitele lehetővé teszi a helytakarékos elhelyezést. A heti programozás segítségével könnyedén beállíthatja a kívánt hőmérsékletet a hét minden napjára. 
A komfort és economy mód további energiamegtakarítást tesz lehetővé, míg a fagyőr funkció megvédi a készüléket a fagykároktól.
Az ablaknyitás-érzékelés funkció automatikusan kikapcsolja a fűtőtestet, amikor friss levegőt enged be a helyiségbe, így elkerülve a felesleges energiafogyasztást. Kompakt mérete (69x44x9,45 cm) révén könnyedén elhelyezhető, bárhová is szükséges.
Ne várjon a hideg beköszöntéig! Szerezze be most a Home FKA 150 fali fűtőtestet, és élvezze az egyenletes, gazdaságos fűtést egész télen! Vásárolja meg most, hogy otthona mindig meleg és kényelmes legyen!</t>
        </is>
      </c>
    </row>
    <row r="2140">
      <c r="A2140" s="3" t="inlineStr">
        <is>
          <t>FKA 70</t>
        </is>
      </c>
      <c r="B2140" s="2" t="inlineStr">
        <is>
          <t>Home FKA 70 fali fűtőtest 590/700W, heti program, fagyőr funkció, fehér</t>
        </is>
      </c>
      <c r="C2140" s="1" t="n">
        <v>43790.0</v>
      </c>
      <c r="D2140" s="7" t="n">
        <f>HYPERLINK("https://www.somogyi.hu/product/home-fka-70-fali-futotest-590-700w-heti-program-fagyor-funkcio-feher-fka-70-17755","https://www.somogyi.hu/product/home-fka-70-fali-futotest-590-700w-heti-program-fagyor-funkcio-feher-fka-70-17755")</f>
        <v>0.0</v>
      </c>
      <c r="E2140" s="7" t="n">
        <f>HYPERLINK("https://www.somogyi.hu/data/img/product_main_images/small/17755.jpg","https://www.somogyi.hu/data/img/product_main_images/small/17755.jpg")</f>
        <v>0.0</v>
      </c>
      <c r="F2140" s="2" t="inlineStr">
        <is>
          <t>5999084957773</t>
        </is>
      </c>
      <c r="G2140" s="4" t="inlineStr">
        <is>
          <t>Hogyan biztosíthat otthonában egyenletes és gazdaságos fűtést egyszerűen? A Home FKA 70 fali fűtőtest ideális választás, amely nemcsak hatékony, hanem stílusos is.
Ez a fali fűtőtest 700 W névleges teljesítménnyel rendelkezik, 590-700 W tartományban működve. Az alumínium fűtőelem biztosítja a gyors és hatékony hőleadást, miközben csendes és gazdaságos működést garantál. A lineáris felmelegedés és az egyenletes hőelosztás révén minden helyiségben optimális hőmérsékletet teremt.
A Home FKA 70 minimalista megjelenésével bármilyen lakótérbe tökéletesen illeszkedik. Falra szerelhető kivitele lehetővé teszi a helytakarékos elhelyezést. A heti programozás segítségével könnyedén beállíthatja a kívánt hőmérsékletet a hét minden napjára. 
A komfort és economy mód további energiamegtakarítást tesz lehetővé, míg a fagyőr funkció megvédi a készüléket a fagykároktól.
Az ablaknyitás-érzékelés funkció automatikusan kikapcsolja a fűtőtestet, amikor friss levegőt enged be a helyiségbe, így elkerülve a felesleges energiafogyasztást. Kompakt mérete (39x44x9,45 cm) révén könnyedén elhelyezhető, bárhová is szükséges.
Ne várjon a hideg beköszöntéig! Szerezze be most a Home FKA 70 fali fűtőtestet, és élvezze az egyenletes, gazdaságos fűtést egész télen! Vásárolja meg most, hogy otthona mindig meleg és kényelmes legyen!</t>
        </is>
      </c>
    </row>
    <row r="2141">
      <c r="A2141" s="3" t="inlineStr">
        <is>
          <t>E219117</t>
        </is>
      </c>
      <c r="B2141" s="2" t="inlineStr">
        <is>
          <t>Noirot E219117 Caldera 2 H 2000 BL lávaköves radiátor, 2000 W, IP24 védettség, alumínium és lávakő fűtőelem, gyermekzár, LCD kijelző</t>
        </is>
      </c>
      <c r="C2141" s="1" t="n">
        <v>301990.0</v>
      </c>
      <c r="D2141" s="7" t="n">
        <f>HYPERLINK("https://www.somogyi.hu/product/noirot-e219117-caldera-2-h-2000-bl-lavakoves-radiator-2000-w-ip24-vedettseg-aluminium-es-lavako-futoelem-gyermekzar-lcd-kijelzo-e219117-18965","https://www.somogyi.hu/product/noirot-e219117-caldera-2-h-2000-bl-lavakoves-radiator-2000-w-ip24-vedettseg-aluminium-es-lavako-futoelem-gyermekzar-lcd-kijelzo-e219117-18965")</f>
        <v>0.0</v>
      </c>
      <c r="E2141" s="7" t="n">
        <f>HYPERLINK("https://www.somogyi.hu/data/img/product_main_images/small/18965.jpg","https://www.somogyi.hu/data/img/product_main_images/small/18965.jpg")</f>
        <v>0.0</v>
      </c>
      <c r="F2141" s="2" t="inlineStr">
        <is>
          <t>3465700056240</t>
        </is>
      </c>
      <c r="G2141" s="4" t="inlineStr">
        <is>
          <t>Hogyan teremthet otthonában kellemes meleget, miközben energiatakarékos megoldást választ? A Noirot E219117 Caldera 2 H 2000 BL lávaköves radiátor a tökéletes fűtési megoldás, amely ötvözi a modern technológiát és a természetes hőtároló anyagokat. 
Az 2000 W teljesítményű, 612x1170x123mm méretekkel rendelkező fűtőtest alumínium és lávakő fűtőeleme biztosítja a hosszan tartó és egyenletes hőleadást, miközben IP24 védettsége lehetővé teszi a biztonságos használatot akár nedves környezetben is, például fürdőszobában. A Noirot laboratóriumában kifejlesztett, egyedülálló, exkluzív "INERFRONT" eljárás egy szabadalmaztatott, egy darabból álló alumíniumból készült kettős fűtőelemet tartalmaz, amelyet közvetlenül a radiátor elejére rögzített lávatömbökkel kombinálnak. Ez az egyedülálló rendszer egyszerre biztosítja a hőmérséklet gyors emelkedését és a kiváló természetes hőtehetetlenséget, ami kíméletes, egyenletes meleget garantál az egész helyiségben. 
Intelligens vezérlés a maximális kényelemért
A készülék beépített termosztátja LCD kijelzővel rendelkezik, amely rendkívül pontos hőmérséklet-szabályozást biztosít. A nyitott ablak érzékelő funkció automatikusan csökkenti a teljesítményt, ha huzatot érzékel, így megelőzi az energiafelesleget. A jelenlét érzékelő és az automatikus programozási funkciók révén a radiátor csak akkor működik, amikor valóban szükség van rá. A heti programozási lehetőséggel három előre beállított és három testre szabható programot állíthat be, hogy a fűtés pontosan az Ön életstílusához igazodjon.
Biztonság és energiahatékonyság egy készülékben
A Noirot Caldera 2 H fali radiátor gyermekzár funkcióval és PIN-kódos lezárással van ellátva, így biztosítva, hogy a beállításokat csak az arra jogosult személyek módosíthassák. 
Válassza a Noirot E219117 Caldera 2 H 2000 BL lávaköves radiátort, és élvezze az európai minőségű, energiatakarékos és intelligens fűtést!</t>
        </is>
      </c>
    </row>
    <row r="2142">
      <c r="A2142" s="3" t="inlineStr">
        <is>
          <t>FKIR 701 WIFI</t>
        </is>
      </c>
      <c r="B2142" s="2" t="inlineStr">
        <is>
          <t>Home FKIR 701 WIFI falra szerelhető, infra smart elektromos hibrid fűtőtest, 700W, heti program, távirányító, fehér</t>
        </is>
      </c>
      <c r="C2142" s="1" t="n">
        <v>63990.0</v>
      </c>
      <c r="D2142" s="7" t="n">
        <f>HYPERLINK("https://www.somogyi.hu/product/home-fkir-701-wifi-falra-szerelheto-infra-smart-elektromos-hibrid-futotest-700w-heti-program-taviranyito-feher-fkir-701-wifi-17342","https://www.somogyi.hu/product/home-fkir-701-wifi-falra-szerelheto-infra-smart-elektromos-hibrid-futotest-700w-heti-program-taviranyito-feher-fkir-701-wifi-17342")</f>
        <v>0.0</v>
      </c>
      <c r="E2142" s="7" t="n">
        <f>HYPERLINK("https://www.somogyi.hu/data/img/product_main_images/small/17342.jpg","https://www.somogyi.hu/data/img/product_main_images/small/17342.jpg")</f>
        <v>0.0</v>
      </c>
      <c r="F2142" s="2" t="inlineStr">
        <is>
          <t>5999084953645</t>
        </is>
      </c>
      <c r="G2142" s="4" t="inlineStr">
        <is>
          <t>Hogyan vezérelheti otthona fűtését bárhonnan, bármikor? A Home FKIR 701 WIFI fali infra smart elektromos hibrid fűtőtest a megoldás, amely kényelmet és hatékonyságot kínál modern otthonában.
Ez a falra szerelhető fűtőtest 700 W teljesítménnyel rendelkezik, és ötvözi az infrapanelek kellemes, gazdaságos üzemeltetését a klasszikus fűtési módok által megszokott hőérzettel. Az érintőgombokkal, távirányítóval és okostelefonos alkalmazással is szabályozható készülék lehetővé teszi, hogy távolról is vezérelje otthoni WiFi hálózatán keresztül, így mindig biztos lehet a megfelelő hőmérsékletben.
A Home FKIR 701 WIFI fűtőtest elektronikus termosztátszabályozással rendelkezik, amely pontosan beállítja a kívánt hőmérsékletet. A heti programozás lehetősége további rugalmasságot biztosít, így előre beállíthatja a fűtési ciklusokat a hét minden napjára. Az automatikus kikapcsolás túlmelegedés esetén garantálja a maximális biztonságot, megvédve otthonát és szeretteit.
A készülék kompakt méretei (120x50x5,5 cm) lehetővé teszik a helytakarékos elhelyezést, miközben elegáns, fehér színével minden enteriőrbe illeszkedik. Az okostelefonos alkalmazás használata egyszerű és intuitív, így bárki könnyedén beállíthatja a kívánt hőmérsékletet.
Ne maradjon le erről a modern fűtési megoldásról! Szerezze be most a Home FKIR 701 WIFI fali infra smart elektromos hibrid fűtőtestet, és élvezze a távolról is szabályozható, kényelmes és hatékony fűtést otthonában!</t>
        </is>
      </c>
    </row>
    <row r="2143">
      <c r="A2143" s="3" t="inlineStr">
        <is>
          <t>E219115</t>
        </is>
      </c>
      <c r="B2143" s="2" t="inlineStr">
        <is>
          <t>Noirot E219115 Caldera 2 H 1500 BL lávaköves radiátor, 1500 W, IP24 védettség, alumínium és lávakő fűtőelem, gyermekzár, LCD kijelző</t>
        </is>
      </c>
      <c r="C2143" s="1" t="n">
        <v>263990.0</v>
      </c>
      <c r="D2143" s="7" t="n">
        <f>HYPERLINK("https://www.somogyi.hu/product/noirot-e219115-caldera-2-h-1500-bl-lavakoves-radiator-1500-w-ip24-vedettseg-aluminium-es-lavako-futoelem-gyermekzar-lcd-kijelzo-e219115-18964","https://www.somogyi.hu/product/noirot-e219115-caldera-2-h-1500-bl-lavakoves-radiator-1500-w-ip24-vedettseg-aluminium-es-lavako-futoelem-gyermekzar-lcd-kijelzo-e219115-18964")</f>
        <v>0.0</v>
      </c>
      <c r="E2143" s="7" t="n">
        <f>HYPERLINK("https://www.somogyi.hu/data/img/product_main_images/small/18964.jpg","https://www.somogyi.hu/data/img/product_main_images/small/18964.jpg")</f>
        <v>0.0</v>
      </c>
      <c r="F2143" s="2" t="inlineStr">
        <is>
          <t>3465700056233</t>
        </is>
      </c>
      <c r="G2143" s="4" t="inlineStr">
        <is>
          <t>Hogyan teremthet otthonában kellemes meleget, miközben energiatakarékos megoldást választ? A Noirot E219115 Caldera 2 H 1500 BL lávaköves radiátor a tökéletes fűtési megoldás, amely ötvözi a modern technológiát és a természetes hőtároló anyagokat. 
Az 1500 W teljesítményű, 612x930x123mm méretekkel rendelkező fűtőtest alumínium és lávakő fűtőeleme biztosítja a hosszan tartó és egyenletes hőleadást, miközben IP24 védettsége lehetővé teszi a biztonságos használatot akár nedves környezetben is, például fürdőszobában. A Noirot laboratóriumában kifejlesztett, egyedülálló, exkluzív "INERFRONT" eljárás egy szabadalmaztatott, egy darabból álló alumíniumból készült kettős fűtőelemet tartalmaz, amelyet közvetlenül a radiátor elejére rögzített lávatömbökkel kombinálnak. Ez az egyedülálló rendszer egyszerre biztosítja a hőmérséklet gyors emelkedését és a kiváló természetes hőtehetetlenséget, ami kíméletes, egyenletes meleget garantál az egész helyiségben. 
Intelligens vezérlés a maximális kényelemért
A készülék beépített termosztátja LCD kijelzővel rendelkezik, amely rendkívül pontos hőmérséklet-szabályozást biztosít. A nyitott ablak érzékelő funkció automatikusan csökkenti a teljesítményt, ha huzatot érzékel, így megelőzi az energiafelesleget. A jelenlét érzékelő és az automatikus programozási funkciók révén a radiátor csak akkor működik, amikor valóban szükség van rá. A heti programozási lehetőséggel három előre beállított és három testre szabható programot állíthat be, hogy a fűtés pontosan az Ön életstílusához igazodjon.
Biztonság és energiahatékonyság egy készülékben
A Noirot Caldera 2 H fali radiátor gyermekzár funkcióval és PIN-kódos lezárással van ellátva, így biztosítva, hogy a beállításokat csak az arra jogosult személyek módosíthassák.
Válassza a Noirot E219115 Caldera 2 H 1500 BL lávaköves radiátort, és élvezze az európai minőségű, energiatakarékos és intelligens fűtést!</t>
        </is>
      </c>
    </row>
    <row r="2144">
      <c r="A2144" s="3" t="inlineStr">
        <is>
          <t>E179115</t>
        </is>
      </c>
      <c r="B2144" s="2" t="inlineStr">
        <is>
          <t>Noirot E179115 Spot WIFI 1500 BL konvektor fűtőtest, 1500 W, alumínium fűtőelem, falra szerelhető vagy szabadon álló, napi és heti programozás, applikációval vezérelhető</t>
        </is>
      </c>
      <c r="C2144" s="1" t="n">
        <v>90990.0</v>
      </c>
      <c r="D2144" s="7" t="n">
        <f>HYPERLINK("https://www.somogyi.hu/product/noirot-e179115-spot-wifi-1500-bl-konvektor-futotest-1500-w-aluminium-futoelem-falra-szerelheto-vagy-szabadon-allo-napi-es-heti-programozas-applikacioval-vezerelheto-e179115-18950","https://www.somogyi.hu/product/noirot-e179115-spot-wifi-1500-bl-konvektor-futotest-1500-w-aluminium-futoelem-falra-szerelheto-vagy-szabadon-allo-napi-es-heti-programozas-applikacioval-vezerelheto-e179115-18950")</f>
        <v>0.0</v>
      </c>
      <c r="E2144" s="7" t="n">
        <f>HYPERLINK("https://www.somogyi.hu/data/img/product_main_images/small/18950.jpg","https://www.somogyi.hu/data/img/product_main_images/small/18950.jpg")</f>
        <v>0.0</v>
      </c>
      <c r="F2144" s="2" t="inlineStr">
        <is>
          <t>3465700054253</t>
        </is>
      </c>
      <c r="G2144" s="4" t="inlineStr">
        <is>
          <t>Szeretné otthonát intelligensen és kényelmesen fűteni, miközben minimalizálja az energiafogyasztást? A Noirot E179115 Spot WIFI 1500 BL konvektor fűtőtest tökéletes választás, ha egy olyan megoldást keres, amely nemcsak hatékony, de okostelefonról is egyszerűen vezérelhető. 
Az 1500 W teljesítményű fűtőtest alumínium fűtőeleme gyorsan és egyenletesen osztja el a meleget, miközben szatén fehér kialakítása stílusosan illeszkedik bármely helyiségbe. Kompakt méretének (440x580x110 mm) köszönhetően a készülék diszkrét, mégis hatékony fűtési megoldást biztosít.
Intelligens vezérlés a maximális kényelemért
A beépített digitális termosztát és a Capa Connect applikáció segítségével a Noirot E179115 Spot WIFI konvektor fűtőtest teljesen testre szabható, akár távolról is vezérelhető okostelefonról vagy táblagépről. Az applikáció lehetővé teszi, hogy napi és heti fűtési beállításokat hozzon létre, szobánként külön vezérelve a készülékeket. Az ideiglenes felülbírálat funkcióval gyorsan módosíthatja a hőmérsékletet, ha váratlanul változnának az igényei. A készülék On/Off hőmérséklet-szabályozása biztosítja, hogy mindig a kívánt hőmérsékletet érje el, miközben energiatakarékosan üzemel.
Biztonság és rugalmasság egy készülékben
Az IP24 védettségnek köszönhetően a Noirot Spot WIFI konvektor biztonságosan használható nedves helyiségekben is, mint például fürdőszobákban. A gyermekzár funkció megakadályozza a véletlen beállításokat, így Ön nyugodt lehet, hogy a fűtés mindig biztonságos. A készüléket falra szerelve vagy szabadon álló fűtőtestként is használhatja; utóbbi esetben a külön megvásárolható Noirot A691600 görgőkészlet biztosítja a könnyű áthelyezhetőséget.
Válassza a Noirot E179115 Spot WIFI 1500 BL konvektor fűtőtestet, és tapasztalja meg az okos fűtés előnyeit otthonában!</t>
        </is>
      </c>
    </row>
    <row r="2145">
      <c r="A2145" s="3" t="inlineStr">
        <is>
          <t>E176118</t>
        </is>
      </c>
      <c r="B2145" s="2" t="inlineStr">
        <is>
          <t>Noirot E176118 Spot Design 2500 BL konvektor fűtőtest, 2500 W, alumínium fűtőelem, falra szerelhető vagy szabadon álló, napi és heti programozás</t>
        </is>
      </c>
      <c r="C2145" s="1" t="n">
        <v>80990.0</v>
      </c>
      <c r="D2145" s="7" t="n">
        <f>HYPERLINK("https://www.somogyi.hu/product/noirot-e176118-spot-design-2500-bl-konvektor-futotest-2500-w-aluminium-futoelem-falra-szerelheto-vagy-szabadon-allo-napi-es-heti-programozas-e176118-18947","https://www.somogyi.hu/product/noirot-e176118-spot-design-2500-bl-konvektor-futotest-2500-w-aluminium-futoelem-falra-szerelheto-vagy-szabadon-allo-napi-es-heti-programozas-e176118-18947")</f>
        <v>0.0</v>
      </c>
      <c r="E2145" s="7" t="n">
        <f>HYPERLINK("https://www.somogyi.hu/data/img/product_main_images/small/18947.jpg","https://www.somogyi.hu/data/img/product_main_images/small/18947.jpg")</f>
        <v>0.0</v>
      </c>
      <c r="F2145" s="2" t="inlineStr">
        <is>
          <t>3465700054109</t>
        </is>
      </c>
      <c r="G2145" s="4" t="inlineStr">
        <is>
          <t>Hogyan érheti el a tökéletes hőmérsékletet otthonában, miközben energiatakarékos és elegáns megoldást választ? A Noirot E176118 Spot Design 2500 BL konvektor fűtőtest a tökéletes választás azok számára, akik modern és hatékony fűtési megoldást keresnek. 
Ez az 2500 W teljesítményű fűtőtest kiválóan alkalmas kisebb helyiségek fűtésére, ahol fontos a gyors és egyenletes hőelosztás. Az alumínium fűtőelem biztosítja a hatékony működést, míg a készülék kompakt mérete (440x900x104 mm) lehetővé teszi, hogy diszkréten illeszkedjen bármely belső térbe. A termék elegáns, szatén fehér színű kialakítása a francia formatervezés esztétikáját tükrözi, miközben maximális hatékonyságot nyújt.
Fejlett technológia a kényelmes mindennapokért
A Noirot Spot Design konvektor fűtőtest beépített digitális termosztáttal és elektronikus vezérléssel van felszerelve, amely lehetővé teszi a napi és heti programozást, így mindig az Ön igényeihez igazodó hőmérsékletet biztosít. A három előre beállított program mellett három testre szabható program is elérhető, így személyre szabhatja a fűtési beállításokat. A nyitott ablak érzékelő automatikusan felismeri a hirtelen hőmérséklet-csökkenést, és ennek megfelelően szabályozza a fűtést, hogy elkerülje az energiafelesleget. A hőmérséklet kalibrálás tovább növeli a pontosságot, így mindig a kívánt hőmérsékletet érheti el.
Biztonság és sokoldalúság a legmagasabb szinten
A készülék IP24 védettséggel rendelkezik, ami lehetővé teszi, hogy nedves környezetben, például fürdőszobában is biztonságosan használható legyen. A gyermekzár funkció gondoskodik arról, hogy a kicsik ne tudjanak véletlenül változtatni a beállításokon, így otthona mindig biztonságban van. A Noirot E176118 Spot Design konvektor fűtőtestet falra szerelve is használhatja, de ha szabadon álló megoldást szeretne, külön megvásárolható a Noirot A691600 görgőkészlet, amely lehetővé teszi a fűtőtest könnyű áthelyezését.
Válassza a Noirot E176118 Spot Design 2500 BL konvektor fűtőtestet, és élvezze az európai minőséget és a francia dizájn eleganciáját minden nap!</t>
        </is>
      </c>
    </row>
    <row r="2146">
      <c r="A2146" s="3" t="inlineStr">
        <is>
          <t>E211113</t>
        </is>
      </c>
      <c r="B2146" s="2" t="inlineStr">
        <is>
          <t>Noirot E211113 Verlys 1000 BLY elektromos radiátor, 1000 W, konvektív és infravörös fűtési mód, IP24 védettség, edzett üveg előlap, fehér színű</t>
        </is>
      </c>
      <c r="C2146" s="1" t="n">
        <v>232990.0</v>
      </c>
      <c r="D2146" s="7" t="n">
        <f>HYPERLINK("https://www.somogyi.hu/product/noirot-e211113-verlys-1000-bly-elektromos-radiator-1000-w-konvektiv-es-infravoros-futesi-mod-ip24-vedettseg-edzett-uveg-elolap-feher-szinu-e211113-18969","https://www.somogyi.hu/product/noirot-e211113-verlys-1000-bly-elektromos-radiator-1000-w-konvektiv-es-infravoros-futesi-mod-ip24-vedettseg-edzett-uveg-elolap-feher-szinu-e211113-18969")</f>
        <v>0.0</v>
      </c>
      <c r="E2146" s="7" t="n">
        <f>HYPERLINK("https://www.somogyi.hu/data/img/product_main_images/small/18969.jpg","https://www.somogyi.hu/data/img/product_main_images/small/18969.jpg")</f>
        <v>0.0</v>
      </c>
      <c r="F2146" s="2" t="inlineStr">
        <is>
          <t>3465700054727</t>
        </is>
      </c>
      <c r="G2146" s="4" t="inlineStr">
        <is>
          <t>Hogyan élvezhet kényelmes meleget, miközben energiát takarít meg otthonában? A Noirot E211113 Verlys 1000 BLY elektromos radiátor a tökéletes választás, ha egyszerre szeretne gyorsan felfűtött helyiségeket és energiahatékony megoldást. 
Az 1000 W teljesítményű radiátor ötvözi a konvektív és az infravörös fűtési technológiát, hogy maximális hatékonysággal melegítse fel otthonát. A modern, 6 mm vastag edzett üveg előlap nemcsak stílusos megjelenést nyújt, hanem a teljesítmény 20%-át is sugárzó hő formájában bocsátja ki a rányomtatott fűtőfólia segítségével, míg a készülék 80%-át az alumínium reaktív sugárzó biztosítja a gyors felmelegedéshez.
Fejlett funkciók a maximális kényelemért
A radiátor IP24 védettséggel rendelkezik, ami lehetővé teszi a biztonságos használatot akár fürdőszobában is. A nyitott ablak érzékelő automatikusan csökkenti a fűtést, ha huzatot észlel, ezáltal elkerüli az energiapazarlást. Heti programozási lehetőséggel és három előre beállított, valamint három testre szabható programmal a fűtés teljesen igazítható az Ön időbeosztásához. A 0,1 tized fokos pontosságú beépített termosztát és LCD kijelző gondoskodik arról, hogy mindig a kívánt hőmérsékletet tartsa.
Biztonság és rugalmasság minden helyzetben
A Noirot Verlys 1000 BLY radiátor gyermekzárral és PIN-kódos lezárással védi a beállításokat, így gyerekek vagy illetéktelenek nem módosíthatják azokat. A 6 órás memória áramszünet esetére megőrzi a beállításokat, így nem kell újra konfigurálnia a készüléket. A radiátor fali és szabadon álló kivitelben is használható, de szabadon álló megoldáshoz külön megvásárolható görgőkészlet szükséges. Az elegáns fehér szín és a kompakt méret (480x600x95 mm) modern megjelenést biztosít, míg a 8,5 kg-os tömeg stabil elhelyezést garantál.
Válassza a Noirot E211113 Verlys 1000 BLY elektromos radiátort, és tapasztalja meg az intelligens, energiatakarékos fűtés előnyeit! Rendelje meg most, és élvezze otthona kényelmét a téli hidegben is!</t>
        </is>
      </c>
    </row>
    <row r="2147">
      <c r="A2147" s="3" t="inlineStr">
        <is>
          <t>FK 54</t>
        </is>
      </c>
      <c r="B2147" s="2" t="inlineStr">
        <is>
          <t>Home FK 54 álló elektromos kerámia fűtőtest, 1400W/2000W, oszcillálás, elektronikus termosztát, távirányító, fehér</t>
        </is>
      </c>
      <c r="C2147" s="1" t="n">
        <v>20990.0</v>
      </c>
      <c r="D2147" s="7" t="n">
        <f>HYPERLINK("https://www.somogyi.hu/product/home-fk-54-allo-elektromos-keramia-futotest-1400w-2000w-oszcillalas-elektronikus-termosztat-taviranyito-feher-fk-54-18064","https://www.somogyi.hu/product/home-fk-54-allo-elektromos-keramia-futotest-1400w-2000w-oszcillalas-elektronikus-termosztat-taviranyito-feher-fk-54-18064")</f>
        <v>0.0</v>
      </c>
      <c r="E2147" s="7" t="n">
        <f>HYPERLINK("https://www.somogyi.hu/data/img/product_main_images/small/18064.jpg","https://www.somogyi.hu/data/img/product_main_images/small/18064.jpg")</f>
        <v>0.0</v>
      </c>
      <c r="F2147" s="2" t="inlineStr">
        <is>
          <t>5999084960865</t>
        </is>
      </c>
      <c r="G2147" s="4" t="inlineStr">
        <is>
          <t>Szeretné gyorsan és hatékonyan felmelegíteni otthonát, miközben egy elegáns és modern készülék díszíti a helyiséget? A Home FK 54 álló elektromos kerámia fűtőtest kiváló választás minden olyan otthon számára, ahol fontos a gyors és hatékony fűtés. 
Az elegáns fehér színű készülék két fűtési fokozattal rendelkezik: 1400 W és 2000 W teljesítménnyel, így a hőmérsékletet igényei szerint állíthatja be. Az érintőgombok és a fehér LED-kijelző segítségével könnyedén szabályozhatja a készüléket, miközben a távirányítóval minden funkció kényelmesen vezérelhető. A PTC kerámia fűtőelem biztosítja a gyors és egyenletes hőeloszlást, míg az automatikus kikapcsolás túlmelegedés vagy felbillenés esetén garantálja a biztonságos használatot. Az elektronikus termosztát lehetővé teszi a hőmérséklet pontos beállítását 15°C és 40°C között, így mindig az Ön igényeinek megfelelő meleget biztosít.
A készülék 24 órás kikapcsolásidőzítővel rendelkezik, amely növeli a használat kényelmét és rugalmasságát. Az oszcillálás kapcsolható, így a meleg levegő egyenletesen oszlik el a helyiségben. A távirányító tápellátása egy 3 V-os CR2025 gombelemmel történik, amely tartozékként megtalálható a csomagban. A Home FK 54 fűtőtest kompakt méretének (∅23 x 63,5 cm) köszönhetően könnyen elhelyezhető bármelyik helyiségben, miközben 220-240 V~ / 50-60 Hz tápellátással működik, így a legtöbb háztartásban használható.
Ne várjon tovább, tegye otthonát még kényelmesebbé és melegebbé a Home FK 54 álló elektromos kerámia fűtőtesttel – rendelje meg még ma, és élvezze a gyors és hatékony fűtést minden nap!</t>
        </is>
      </c>
    </row>
    <row r="2148">
      <c r="A2148" s="3" t="inlineStr">
        <is>
          <t>E176117</t>
        </is>
      </c>
      <c r="B2148" s="2" t="inlineStr">
        <is>
          <t>Noirot E176117 Spot Design 2000 BL konvektor fűtőtest, 2000 W, alumínium fűtőelem, falra szerelhető vagy szabadon álló, napi és heti programozás</t>
        </is>
      </c>
      <c r="C2148" s="1" t="n">
        <v>72390.0</v>
      </c>
      <c r="D2148" s="7" t="n">
        <f>HYPERLINK("https://www.somogyi.hu/product/noirot-e176117-spot-design-2000-bl-konvektor-futotest-2000-w-aluminium-futoelem-falra-szerelheto-vagy-szabadon-allo-napi-es-heti-programozas-e176117-18946","https://www.somogyi.hu/product/noirot-e176117-spot-design-2000-bl-konvektor-futotest-2000-w-aluminium-futoelem-falra-szerelheto-vagy-szabadon-allo-napi-es-heti-programozas-e176117-18946")</f>
        <v>0.0</v>
      </c>
      <c r="E2148" s="7" t="n">
        <f>HYPERLINK("https://www.somogyi.hu/data/img/product_main_images/small/18946.jpg","https://www.somogyi.hu/data/img/product_main_images/small/18946.jpg")</f>
        <v>0.0</v>
      </c>
      <c r="F2148" s="2" t="inlineStr">
        <is>
          <t>3465700054093</t>
        </is>
      </c>
      <c r="G2148" s="4" t="inlineStr">
        <is>
          <t>Hogyan érheti el a tökéletes hőmérsékletet otthonában, miközben energiatakarékos és elegáns megoldást választ? A Noirot E176117 Spot Design 2000 BL konvektor fűtőtest a tökéletes választás azok számára, akik modern és hatékony fűtési megoldást keresnek. 
Ez az 2000 W teljesítményű fűtőtest kiválóan alkalmas kisebb helyiségek fűtésére, ahol fontos a gyors és egyenletes hőelosztás. Az alumínium fűtőelem biztosítja a hatékony működést, míg a készülék kompakt mérete (440x740x104 mm) lehetővé teszi, hogy diszkréten illeszkedjen bármely belső térbe. A termék elegáns, szatén fehér színű kialakítása a francia formatervezés esztétikáját tükrözi, miközben maximális hatékonyságot nyújt.
Fejlett technológia a kényelmes mindennapokért
A Noirot Spot Design konvektor fűtőtest beépített digitális termosztáttal és elektronikus vezérléssel van felszerelve, amely lehetővé teszi a napi és heti programozást, így mindig az Ön igényeihez igazodó hőmérsékletet biztosít. A három előre beállított program mellett három testre szabható program is elérhető, így személyre szabhatja a fűtési beállításokat. A nyitott ablak érzékelő automatikusan felismeri a hirtelen hőmérséklet-csökkenést, és ennek megfelelően szabályozza a fűtést, hogy elkerülje az energiafelesleget. A hőmérséklet kalibrálás tovább növeli a pontosságot, így mindig a kívánt hőmérsékletet érheti el.
Biztonság és sokoldalúság a legmagasabb szinten
A készülék IP24 védettséggel rendelkezik, ami lehetővé teszi, hogy nedves környezetben, például fürdőszobában is biztonságosan használható legyen. A gyermekzár funkció gondoskodik arról, hogy a kicsik ne tudjanak véletlenül változtatni a beállításokon, így otthona mindig biztonságban van. A Noirot E176117 Spot Design konvektor fűtőtestet falra szerelve is használhatja, de ha szabadon álló megoldást szeretne, külön megvásárolható a Noirot A691600 görgőkészlet, amely lehetővé teszi a fűtőtest könnyű áthelyezését.
Válassza a Noirot E176117 Spot Design 2000 BL konvektor fűtőtestet, és élvezze az európai minőséget és a francia dizájn eleganciáját minden nap!</t>
        </is>
      </c>
    </row>
    <row r="2149">
      <c r="A2149" s="3" t="inlineStr">
        <is>
          <t>FK421WIFI</t>
        </is>
      </c>
      <c r="B2149" s="2" t="inlineStr">
        <is>
          <t>Home FK421WIFI SMART konvektor fűtőtest, falra szerelhető vagy szabadonálló 2000W, IPX4, LED kijelző</t>
        </is>
      </c>
      <c r="C2149" s="1" t="n">
        <v>47290.0</v>
      </c>
      <c r="D2149" s="7" t="n">
        <f>HYPERLINK("https://www.somogyi.hu/product/home-fk421wifi-smart-konvektor-futotest-falra-szerelheto-vagy-szabadonallo-2000w-ipx4-led-kijelzo-fk421wifi-18581","https://www.somogyi.hu/product/home-fk421wifi-smart-konvektor-futotest-falra-szerelheto-vagy-szabadonallo-2000w-ipx4-led-kijelzo-fk421wifi-18581")</f>
        <v>0.0</v>
      </c>
      <c r="E2149" s="7" t="n">
        <f>HYPERLINK("https://www.somogyi.hu/data/img/product_main_images/small/18581.jpg","https://www.somogyi.hu/data/img/product_main_images/small/18581.jpg")</f>
        <v>0.0</v>
      </c>
      <c r="F2149" s="2" t="inlineStr">
        <is>
          <t>5999084965990</t>
        </is>
      </c>
      <c r="G2149" s="4" t="inlineStr">
        <is>
          <t>Szeretné otthona hőmérsékletét okostelefonról vezérelni, bárhol is legyen? A Home FK421WIFI SMART konvektor fűtőtest tökéletes megoldás, ha egy modern, hatékony és könnyen kezelhető fűtési rendszert keres. 
Ez a fűtőtest Wi-Fi kapcsolaton keresztül okostelefonról is vezérelhető, így mindig biztos lehet benne, hogy otthona kellemes hőmérsékletű lesz. A 2000 W teljesítményű fűtőtest gyorsan és hatékonyan melegíti fel a helyiséget, míg az IPX4 fröccsenő víz elleni védelem biztonságos használatot tesz lehetővé fürdőszobában is. A készülék szabadonálló vagy falra rögzíthető, így rugalmasan alkalmazkodik igényeihez.
A Home FK421WIFI SMART konvektor fagyőrként is használható, amely 7°C-on tartja a helyiséget, hogy megakadályozza a fagyást. A termosztátvezérelt üzemmód 5-35°C között állítható, így mindig pontosan a kívánt hőmérsékletet érheti el. Az elektronikus nyomógombok és a digitális LED kijelző egyszerű és intuitív kezelést biztosítanak. A heti programozhatóság és az ablaknyitás-érzékelés funkciók lehetővé teszik a fűtési időszakok és a hőmérséklet optimális beállítását, növelve ezzel az energiahatékonyságot. A 24 órás kikapcsolás időzítő segítségével pedig előre beállíthatja a fűtőtest működésének idejét.
A festett acél felület nemcsak esztétikus, de tartós is, és a főkapcsolóval egyszerűen ki- és bekapcsolható a készülék. A túlmelegedés elleni védelem extra biztonságot nyújt, így nyugodtan használhatja a készüléket. A csomag tartalmazza a falra rögzítéshez szükséges csavarokat és tipliket, így könnyedén felszerelheti a fűtőtestet. A Home FK421WIFI SMART konvektor fűtőtest méretei 87 x 43,5 x 22 cm, ami kompakt és könnyen elhelyezhető bármely helyiségben.
Ne habozzon, válassza a Home FK421WIFI SMART konvektor fűtőtestet, és élvezze a kényelmet és a modern technológia nyújtotta előnyöket otthonában!</t>
        </is>
      </c>
    </row>
    <row r="2150">
      <c r="A2150" s="3" t="inlineStr">
        <is>
          <t>FK345TURBO</t>
        </is>
      </c>
      <c r="B2150" s="2" t="inlineStr">
        <is>
          <t>Home FK345TURBO konvektoros fűtőtest ventilátorral, 2000 W / 1250 W, termosztátszabályozás, szabadon álló, túlmelegedés védelem, turbóventilátor funkció</t>
        </is>
      </c>
      <c r="C2150" s="1" t="n">
        <v>18990.0</v>
      </c>
      <c r="D2150" s="7" t="n">
        <f>HYPERLINK("https://www.somogyi.hu/product/home-fk345turbo-konvektoros-futotest-ventilatorral-2000-w-1250-w-termosztatszabalyozas-szabadon-allo-tulmelegedes-vedelem-turboventilator-funkcio-fk345turbo-18478","https://www.somogyi.hu/product/home-fk345turbo-konvektoros-futotest-ventilatorral-2000-w-1250-w-termosztatszabalyozas-szabadon-allo-tulmelegedes-vedelem-turboventilator-funkcio-fk345turbo-18478")</f>
        <v>0.0</v>
      </c>
      <c r="E2150" s="7" t="n">
        <f>HYPERLINK("https://www.somogyi.hu/data/img/product_main_images/small/18478.jpg","https://www.somogyi.hu/data/img/product_main_images/small/18478.jpg")</f>
        <v>0.0</v>
      </c>
      <c r="F2150" s="2" t="inlineStr">
        <is>
          <t>5999084964962</t>
        </is>
      </c>
      <c r="G2150" s="4" t="inlineStr">
        <is>
          <t>Egy hatékony és megbízható fűtőtestet keres, ami gyorsan felmelegíti otthonát? A Home FK345TURBO ventilátoros fűtőtest a tökéletes megoldás!
Ez a fűtőtest két fűtési fokozattal rendelkezik: 1250 W és 2000 W, így könnyedén beállíthatja a kívánt hőmérsékletet. A kapcsolható turbóventilátor funkció gyorsabb és egyenletesebb hőelosztást biztosít, míg a termosztátszabályozás lehetővé teszi a pontos hőmérséklet-szabályozást. A készülék szabadon álló kialakítású, hordfülekkel és műanyag lábakkal, így könnyen mozgatható és stabilan elhelyezhető.
Az automatikus kikapcsolás túlmelegedés esetén extra biztonságot nyújt, megvédve ezzel otthonát és családját. Kompakt méretének (62,5 x 39 x 26 cm) köszönhetően a Home FK345TURBO fűtőtest bármely helyiségben elfér.
Ne várjon tovább, szerezze be most a Home FK345TURBO konvektoros fűtőtestet, és élvezze a meleg otthon kényelmét minden nap!</t>
        </is>
      </c>
    </row>
    <row r="2151">
      <c r="A2151" s="3" t="inlineStr">
        <is>
          <t>FKA 200</t>
        </is>
      </c>
      <c r="B2151" s="2" t="inlineStr">
        <is>
          <t>Home FKA 200 fali fűtőtest 1680/2000W, heti program, fagyőr funkció, fehér</t>
        </is>
      </c>
      <c r="C2151" s="1" t="n">
        <v>71190.0</v>
      </c>
      <c r="D2151" s="7" t="n">
        <f>HYPERLINK("https://www.somogyi.hu/product/home-fka-200-fali-futotest-1680-2000w-heti-program-fagyor-funkcio-feher-fka-200-17757","https://www.somogyi.hu/product/home-fka-200-fali-futotest-1680-2000w-heti-program-fagyor-funkcio-feher-fka-200-17757")</f>
        <v>0.0</v>
      </c>
      <c r="E2151" s="7" t="n">
        <f>HYPERLINK("https://www.somogyi.hu/data/img/product_main_images/small/17757.jpg","https://www.somogyi.hu/data/img/product_main_images/small/17757.jpg")</f>
        <v>0.0</v>
      </c>
      <c r="F2151" s="2" t="inlineStr">
        <is>
          <t>5999084957797</t>
        </is>
      </c>
      <c r="G2151" s="4" t="inlineStr">
        <is>
          <t>Hogyan biztosíthat otthonában egyenletes és gazdaságos fűtést egyszerűen? A Home FKA 200 fali fűtőtest ideális választás, amely nemcsak hatékony, hanem stílusos is.
Ez a fali fűtőtest 2000 W névleges teljesítménnyel rendelkezik, 1680-2000 W tartományban működve. Az alumínium fűtőelem biztosítja a gyors és hatékony hőleadást, miközben csendes és gazdaságos működést garantál. A lineáris felmelegedés és az egyenletes hőelosztás révén minden helyiségben optimális hőmérsékletet teremt.
A Home FKA 200 minimalista megjelenésével bármilyen lakótérbe tökéletesen illeszkedik. Falra szerelhető kivitele lehetővé teszi a helytakarékos elhelyezést. A heti programozás segítségével könnyedén beállíthatja a kívánt hőmérsékletet a hét minden napjára. 
A komfort és economy mód további energiamegtakarítást tesz lehetővé, míg a fagyőr funkció megvédi a készüléket a fagykároktól.
Az ablaknyitás-érzékelés funkció automatikusan kikapcsolja a fűtőtestet, amikor friss levegőt enged be a helyiségbe, így elkerülve a felesleges energiafogyasztást. Kompakt mérete (84x44x9,45 cm) révén könnyedén elhelyezhető, bárhová is szükséges.
Ne várjon a hideg beköszöntéig! Szerezze be most a Home FKA 200 fali fűtőtestet, és élvezze az egyenletes, gazdaságos fűtést egész télen! Vásárolja meg most, hogy otthona mindig meleg és kényelmes legyen!</t>
        </is>
      </c>
    </row>
    <row r="2152">
      <c r="A2152" s="3" t="inlineStr">
        <is>
          <t>E222117</t>
        </is>
      </c>
      <c r="B2152" s="2" t="inlineStr">
        <is>
          <t>Noirot E222117 Amaroc H 2000 BL kerámia fűtőtest, 2000 W, IP24 védettség, nyitott ablak érzékelő, gyermekzár, fali kivitel</t>
        </is>
      </c>
      <c r="C2152" s="1" t="n">
        <v>182990.0</v>
      </c>
      <c r="D2152" s="7" t="n">
        <f>HYPERLINK("https://www.somogyi.hu/product/noirot-e222117-amaroc-h-2000-bl-keramia-futotest-2000-w-ip24-vedettseg-nyitott-ablak-erzekelo-gyermekzar-fali-kivitel-e222117-18962","https://www.somogyi.hu/product/noirot-e222117-amaroc-h-2000-bl-keramia-futotest-2000-w-ip24-vedettseg-nyitott-ablak-erzekelo-gyermekzar-fali-kivitel-e222117-18962")</f>
        <v>0.0</v>
      </c>
      <c r="E2152" s="7" t="n">
        <f>HYPERLINK("https://www.somogyi.hu/data/img/product_main_images/small/18962.jpg","https://www.somogyi.hu/data/img/product_main_images/small/18962.jpg")</f>
        <v>0.0</v>
      </c>
      <c r="F2152" s="2" t="inlineStr">
        <is>
          <t>3465700056271</t>
        </is>
      </c>
      <c r="G2152" s="4" t="inlineStr">
        <is>
          <t>Szeretne energiatakarékos, mégis hosszan tartó meleget otthonában? A Noirot E222117 Amaroc H 2000 BL kerámia fűtőtest ideális választás, ha hatékony és költségtakarékos fűtési megoldást keres. 
Ez az 2000 W teljesítményű készülék természetes kőből készült, kerámia tömbbe öntött fűtőelemmel rendelkezik, amely kíméletes és hosszan tartó meleget biztosít. A fali kivitelű hősugárzó stílusos megjelenésével könnyedén illeszkedik bármely belső térbe, miközben a legmodernebb technológiát kínálja. Elülső nyílása biztosítja az optimális hőeloszlást, így kényelmet és eleganciát nyújt a helyiségben.
Innovatív technológia a hatékony és kényelmes fűtésért
A Noirot Amaroc H fűtőtest IP24 védettséggel rendelkezik, így biztonságosan használható nedves helyiségekben is, például fürdőszobákban. A nyitott ablak érzékelő automatikusan csökkenti a teljesítményt, ha huzatot érzékel, így elkerülheti az energiafelesleget. A készülék három előre beállított és három testre szabható fűtési programot kínál, hogy igényeihez igazíthassa a fűtést. A beépített termosztát LCD kijelzője 0,1 tized fokos pontossággal szabályozza a hőmérsékletet, garantálva az optimális komfortot.
Maximális biztonság és praktikus funkciók
A gyermekzár és a PIN-kódos lezárás extra védelmet nyújt, hogy a beállításokat csak jogosult személyek módosíthassák. A fűtőtest 6 órás memóriával rendelkezik áramszünet esetére, így a beállítások az áramellátás visszatérése után is megmaradnak. A letisztult, fehér színű dizájn modern és elegáns megjelenést biztosít, így bármilyen lakó- vagy üzlethelyiségben megállja a helyét.
Válassza a Noirot E222117 Amaroc H 2000 BL kerámia fűtőtestet, és élvezze a hosszan tartó meleget, amely a letisztult francia formatervezés és az európai minőség jegyében készült!</t>
        </is>
      </c>
    </row>
    <row r="2153">
      <c r="A2153" s="3" t="inlineStr">
        <is>
          <t>E223115</t>
        </is>
      </c>
      <c r="B2153" s="2" t="inlineStr">
        <is>
          <t>Noirot E223115 Walter H 1500 BL aktív öntöttvas radiátor, 1500 W, öntöttvas fűtőelem, IP24 védettség, gyermekzár, LCD kijelző</t>
        </is>
      </c>
      <c r="C2153" s="1" t="n">
        <v>259990.0</v>
      </c>
      <c r="D2153" s="7" t="n">
        <f>HYPERLINK("https://www.somogyi.hu/product/noirot-e223115-walter-h-1500-bl-aktiv-ontottvas-radiator-1500-w-ontottvas-futoelem-ip24-vedettseg-gyermekzar-lcd-kijelzo-e223115-18967","https://www.somogyi.hu/product/noirot-e223115-walter-h-1500-bl-aktiv-ontottvas-radiator-1500-w-ontottvas-futoelem-ip24-vedettseg-gyermekzar-lcd-kijelzo-e223115-18967")</f>
        <v>0.0</v>
      </c>
      <c r="E2153" s="7" t="n">
        <f>HYPERLINK("https://www.somogyi.hu/data/img/product_main_images/small/18967.jpg","https://www.somogyi.hu/data/img/product_main_images/small/18967.jpg")</f>
        <v>0.0</v>
      </c>
      <c r="F2153" s="2" t="inlineStr">
        <is>
          <t>3465700056325</t>
        </is>
      </c>
      <c r="G2153" s="4" t="inlineStr">
        <is>
          <t>Hogyan biztosíthatja otthona kellemes és hosszan tartó melegét a legmodernebb technológiával? A Noirot E223115 Walter H 1500 BL aktív öntöttvas radiátor a tökéletes megoldás, ha hatékony, mégis energiatakarékos fűtést keres. 
Az 1500 W teljesítményű radiátor öntöttvas fűtőeleme kiemelkedő hőtárolási képességgel rendelkezik, így hosszabb ideig tartja meg a meleget, mint a hagyományos fűtőtestek. A készülék IP24 védettsége lehetővé teszi a biztonságos használatot akár nedves helyiségekben, mint például fürdőszobákban is. Szabadalmaztatott aktív öntöttvas technológia: az öntöttvas blokk szívébe ágyazott ellenállás gyors hőmérsékletemelkedést tesz lehetővé, miközben kellemes, egyenletes meleget biztosít. 
Intelligens vezérlés és személyre szabható beállítások
A Noirot Walter H radiátor beépített termosztáttal és LCD kijelzővel rendelkezik, amely ultrapontos hőmérséklet-szabályozást biztosít. A nyitott ablak érzékelő felismeri a huzatot, és automatikusan csökkenti a fűtést, ezzel segítve az energia megtakarítását. A jelenlét érzékelő automatikusan szabályozza a működést az Ön jelenlétéhez igazodva. Heti programozás funkcióval három előre beállított és három testre szabható program áll rendelkezésére, hogy a fűtés tökéletesen alkalmazkodjon életviteléhez. A PIN-kódos lezárás és a gyermekzár további biztonságot nyújt a beállítások védelmében.
Modern dizájn és praktikus funkciók egy készülékben
A radiátor letisztult, fehér színű, vízszintes fali elhelyezésű kialakítása könnyedén illeszkedik bármilyen modern enteriőrbe. Az áramszünet esetén a készülék megtartja a beállításokat, így a fűtés zavartalanul folytatódik az áramellátás visszaállításával. A méretei (530x728x125 mm) és 21 kg-os tömege mellett a Noirot Walter H radiátor praktikus és megbízható megoldás minden otthon és üzlethelyiség számára.
Válassza a Noirot E223115 Walter H 1500 BL aktív öntöttvas radiátort, és élvezze az energiatakarékos, hosszan tartó meleget otthonában!</t>
        </is>
      </c>
    </row>
    <row r="2154">
      <c r="A2154" s="3" t="inlineStr">
        <is>
          <t>E223117</t>
        </is>
      </c>
      <c r="B2154" s="2" t="inlineStr">
        <is>
          <t>Noirot E223117 Walter H 2000 BL aktív öntöttvas radiátor, 2000 W, öntöttvas fűtőelem, IP24 védettség, gyermekzár, LCD kijelző</t>
        </is>
      </c>
      <c r="C2154" s="1" t="n">
        <v>278990.0</v>
      </c>
      <c r="D2154" s="7" t="n">
        <f>HYPERLINK("https://www.somogyi.hu/product/noirot-e223117-walter-h-2000-bl-aktiv-ontottvas-radiator-2000-w-ontottvas-futoelem-ip24-vedettseg-gyermekzar-lcd-kijelzo-e223117-18968","https://www.somogyi.hu/product/noirot-e223117-walter-h-2000-bl-aktiv-ontottvas-radiator-2000-w-ontottvas-futoelem-ip24-vedettseg-gyermekzar-lcd-kijelzo-e223117-18968")</f>
        <v>0.0</v>
      </c>
      <c r="E2154" s="7" t="n">
        <f>HYPERLINK("https://www.somogyi.hu/data/img/product_main_images/small/18968.jpg","https://www.somogyi.hu/data/img/product_main_images/small/18968.jpg")</f>
        <v>0.0</v>
      </c>
      <c r="F2154" s="2" t="inlineStr">
        <is>
          <t>3465700056332</t>
        </is>
      </c>
      <c r="G2154" s="4" t="inlineStr">
        <is>
          <t>Hogyan biztosíthatja otthona kellemes és hosszan tartó melegét a legmodernebb technológiával? A Noirot E223117 Walter H 2000 BL aktív öntöttvas radiátor a tökéletes megoldás, ha hatékony, mégis energiatakarékos fűtést keres. 
Az 2000 W teljesítményű radiátor öntöttvas fűtőeleme kiemelkedő hőtárolási képességgel rendelkezik, így hosszabb ideig tartja meg a meleget, mint a hagyományos fűtőtestek. A készülék IP24 védettsége lehetővé teszi a biztonságos használatot akár nedves helyiségekben, mint például fürdőszobákban is. Szabadalmaztatott aktív öntöttvas technológia: az öntöttvas blokk szívébe ágyazott ellenállás gyors hőmérsékletemelkedést tesz lehetővé, miközben kellemes, egyenletes meleget biztosít. 
Intelligens vezérlés és személyre szabható beállítások
A Noirot Walter H radiátor beépített termosztáttal és LCD kijelzővel rendelkezik, amely ultrapontos hőmérséklet-szabályozást biztosít. A nyitott ablak érzékelő felismeri a huzatot, és automatikusan csökkenti a fűtést, ezzel segítve az energia megtakarítását. A jelenlét érzékelő automatikusan szabályozza a működést az Ön jelenlétéhez igazodva. Heti programozás funkcióval három előre beállított és három testre szabható program áll rendelkezésére, hogy a fűtés tökéletesen alkalmazkodjon életviteléhez. A PIN-kódos lezárás és a gyermekzár további biztonságot nyújt a beállítások védelmében.
Modern dizájn és praktikus funkciók egy készülékben
A radiátor letisztult, fehér színű, vízszintes fali elhelyezésű kialakítása könnyedén illeszkedik bármilyen modern enteriőrbe. Az áramszünet esetén a készülék megtartja a beállításokat, így a fűtés zavartalanul folytatódik az áramellátás visszaállításával. A méretei (530x728x125 mm) és 21 kg-os tömege mellett a Noirot Walter H radiátor praktikus és megbízható megoldás minden otthon és üzlethelyiség számára.
Válassza a Noirot E223117 Walter H 2000 BL aktív öntöttvas radiátort, és élvezze az energiatakarékos, hosszan tartó meleget otthonában!</t>
        </is>
      </c>
    </row>
    <row r="2155">
      <c r="A2155" s="3" t="inlineStr">
        <is>
          <t>E211125</t>
        </is>
      </c>
      <c r="B2155" s="2" t="inlineStr">
        <is>
          <t>Noirot E211125 Verlys 1500 NR elektromos radiátor, 1500 W, konvektív és infravörös fűtési mód, IP24 védettség, edzett üveg előlap, antracit szürke</t>
        </is>
      </c>
      <c r="C2155" s="1" t="n">
        <v>241990.0</v>
      </c>
      <c r="D2155" s="7" t="n">
        <f>HYPERLINK("https://www.somogyi.hu/product/noirot-e211125-verlys-1500-nr-elektromos-radiator-1500-w-konvektiv-es-infravoros-futesi-mod-ip24-vedettseg-edzett-uveg-elolap-antracit-szurke-e211125-18973","https://www.somogyi.hu/product/noirot-e211125-verlys-1500-nr-elektromos-radiator-1500-w-konvektiv-es-infravoros-futesi-mod-ip24-vedettseg-edzett-uveg-elolap-antracit-szurke-e211125-18973")</f>
        <v>0.0</v>
      </c>
      <c r="E2155" s="7" t="n">
        <f>HYPERLINK("https://www.somogyi.hu/data/img/product_main_images/small/18973.jpg","https://www.somogyi.hu/data/img/product_main_images/small/18973.jpg")</f>
        <v>0.0</v>
      </c>
      <c r="F2155" s="2" t="inlineStr">
        <is>
          <t>3465700054765</t>
        </is>
      </c>
      <c r="G2155" s="4" t="inlineStr">
        <is>
          <t>Hogyan élvezhet kényelmes meleget, miközben energiát takarít meg otthonában? A Noirot E211125 Verlys 1500 NR elektromos radiátor a tökéletes választás, ha egyszerre szeretne gyorsan felfűtött helyiségeket és energiahatékony megoldást. 
Az 1500 W teljesítményű radiátor ötvözi a konvektív és az infravörös fűtési technológiát, hogy maximális hatékonysággal melegítse fel otthonát. A modern, 6 mm vastag edzett üveg előlap nemcsak stílusos megjelenést nyújt, hanem a teljesítmény 20%-át is sugárzó hő formájában bocsátja ki a rányomtatott fűtőfólia segítségével, míg a készülék 80%-át az alumínium reaktív sugárzó biztosítja a gyors felmelegedéshez.
Fejlett funkciók a maximális kényelemért
A radiátor IP24 védettséggel rendelkezik, ami lehetővé teszi a biztonságos használatot akár fürdőszobában is. A nyitott ablak érzékelő automatikusan csökkenti a fűtést, ha huzatot észlel, ezáltal elkerüli az energiapazarlást. Heti programozási lehetőséggel és három előre beállított, valamint három testre szabható programmal a fűtés teljesen igazítható az Ön időbeosztásához. A 0,1 tized fokos pontosságú beépített termosztát és LCD kijelző gondoskodik arról, hogy mindig a kívánt hőmérsékletet tartsa.
Biztonság és rugalmasság minden helyzetben
A Noirot Verlys 1500 NR radiátor gyermekzárral és PIN-kódos lezárással védi a beállításokat, így gyerekek vagy illetéktelenek nem módosíthatják azokat. A 6 órás memória áramszünet esetére megőrzi a beállításokat, így nem kell újra konfigurálnia a készüléket. A radiátor fali és szabadon álló kivitelben is használható, de szabadon álló megoldáshoz külön megvásárolható görgőkészlet szükséges. Az elegáns antracit szürke szín és a kompakt méret (480x807x95 mm) modern megjelenést biztosít, míg a 11,5 kg-os tömeg stabil elhelyezést garantál.
Válassza a Noirot E211125 Verlys 1500 NR elektromos radiátort, és tapasztalja meg az intelligens, energiatakarékos fűtés előnyeit! Rendelje meg most, és élvezze otthona kényelmét a téli hidegben is!</t>
        </is>
      </c>
    </row>
    <row r="2156">
      <c r="A2156" s="3" t="inlineStr">
        <is>
          <t>FK331</t>
        </is>
      </c>
      <c r="B2156" s="2" t="inlineStr">
        <is>
          <t>Home FK331 konvektoros fűtőtest, 750 / 1250 / 2000 W, hordozható, termosztát szabályozás, szabadon álló, hordfülek, túlmelegedésvédelem</t>
        </is>
      </c>
      <c r="C2156" s="1" t="n">
        <v>12190.0</v>
      </c>
      <c r="D2156" s="7" t="n">
        <f>HYPERLINK("https://www.somogyi.hu/product/home-fk331-konvektoros-futotest-750-1250-2000-w-hordozhato-termosztat-szabalyozas-szabadon-allo-hordfulek-tulmelegedesvedelem-fk331-18477","https://www.somogyi.hu/product/home-fk331-konvektoros-futotest-750-1250-2000-w-hordozhato-termosztat-szabalyozas-szabadon-allo-hordfulek-tulmelegedesvedelem-fk331-18477")</f>
        <v>0.0</v>
      </c>
      <c r="E2156" s="7" t="n">
        <f>HYPERLINK("https://www.somogyi.hu/data/img/product_main_images/small/18477.jpg","https://www.somogyi.hu/data/img/product_main_images/small/18477.jpg")</f>
        <v>0.0</v>
      </c>
      <c r="F2156" s="2" t="inlineStr">
        <is>
          <t>5999084964955</t>
        </is>
      </c>
      <c r="G2156" s="4" t="inlineStr">
        <is>
          <t>Gondolkodott már azon, hogy miként melegíthetné fel gyorsan és hatékonyan otthonát a hidegebb napokon? A Home FK331 hordozható konvektoros fűtőtest ideális választás lehet az Ön számára.
Ez a konvektoros fűtőtest három különböző fűtési szintet kínál: 750 W, 1250 W és 2000 W, így könnyedén alkalmazkodik az Ön igényeihez. A beépített termosztáttal pontosan szabályozhatja a hőmérsékletet, miközben az automatikus kikapcsolási funkció biztonságot nyújt túlmelegedés esetén.
A fűtőtest hordfülei és stabil műanyag lábai révén könnyen mozgatható és stabilan állítható bármely szobában. Mérete (570 x 325 x 205 mm) tökéletes egyéni használatra, legyen szó nappaliról, hálószobáról vagy irodáról.
Válassza a Home FK331 modellt, és élvezze a gyors, hatékony fűtést, miközben otthona meghitt hangulatát biztosítja ezzel a stílusos és praktikus eszközzel.</t>
        </is>
      </c>
    </row>
    <row r="2157">
      <c r="A2157" s="3" t="inlineStr">
        <is>
          <t>FK 55</t>
        </is>
      </c>
      <c r="B2157" s="2" t="inlineStr">
        <is>
          <t>Home FK 55 álló elektromos kerámia fűtőtest digitális termosztáttal, 1000W/1500W, oszcillálás, kikapcsolás időzítő, fehér</t>
        </is>
      </c>
      <c r="C2157" s="1" t="n">
        <v>12790.0</v>
      </c>
      <c r="D2157" s="7" t="n">
        <f>HYPERLINK("https://www.somogyi.hu/product/home-fk-55-allo-elektromos-keramia-futotest-digitalis-termosztattal-1000w-1500w-oszcillalas-kikapcsolas-idozito-feher-fk-55-18105","https://www.somogyi.hu/product/home-fk-55-allo-elektromos-keramia-futotest-digitalis-termosztattal-1000w-1500w-oszcillalas-kikapcsolas-idozito-feher-fk-55-18105")</f>
        <v>0.0</v>
      </c>
      <c r="E2157" s="7" t="n">
        <f>HYPERLINK("https://www.somogyi.hu/data/img/product_main_images/small/18105.jpg","https://www.somogyi.hu/data/img/product_main_images/small/18105.jpg")</f>
        <v>0.0</v>
      </c>
      <c r="F2157" s="2" t="inlineStr">
        <is>
          <t>5999084961275</t>
        </is>
      </c>
      <c r="G2157" s="4" t="inlineStr">
        <is>
          <t>Gondolkodott már azon, hogyan tudná otthonát hatékonyan és stílusosan melegen tartani? Az Home FK 55 álló elektromos kerámia fűtőtest erre a tökéletes megoldás! 
Két fűtési fokozattal rendelkezik (1000W és 1500W), melyek lehetővé teszik az energiatakarékos és hatékony fűtést. Az állítható hőmérséklet tartomány 15-45°C között mozog, így mindig a kívánt hőmérsékletet érheti el. A készülék digitális termosztáttal van ellátva, amelyet egy könnyen olvasható LED kijelzőn keresztül szabályozhat.
A fűtőtest beltéri használatra lett tervezve, ideális nappaliba, hálószobába vagy gyerekszobába, hiszen hordozható és könnyen elhelyezhető bárhol. Kompakt méreteinek köszönhetően (174 x 243 x 117 mm) kis helyet foglal, de hatékonyan fűt akár 23 m²-es helyiségeket is.
A Home FK 55 fűtőtest beépített ventilátorral rendelkezik, amely segíti a gyorsabb hőeloszlást, míg a kapcsolható oszcillálás biztosítja az egyenletes fűtést az egész helyiségben. Az érintőgombokkal vezérelhető funkciók és a 12 órás kikapcsolás időzítő további kényelmet nyújtanak, lehetővé téve a készülék előre beállított időpontban történő kikapcsolását. A fűtőtest zajszintje mindössze 55 dB(A), így nem zavarja meg a csendes pihenést vagy a koncentrált munkát. A biztonságra is nagy hangsúlyt fektettek: a túlmelegedés elleni védelem és a felborulás esetén automatikusan kikapcsoló funkció gondoskodik arról, hogy otthona biztonságban legyen. A készülék tápellátása 220-240 V~ / 50 Hz, így könnyen csatlakoztatható a hálózatra.
Ne habozzon tovább! Vásárolja meg a Home FK 55 álló elektromos kerámia fűtőtestet még ma, és élvezze a kényelmet és a meleget otthonában!</t>
        </is>
      </c>
    </row>
    <row r="2158">
      <c r="A2158" s="3" t="inlineStr">
        <is>
          <t>E179113</t>
        </is>
      </c>
      <c r="B2158" s="2" t="inlineStr">
        <is>
          <t>Noirot E179113 Spot WIFI 1000 BL konvektor fűtőtest, 1000 W, alumínium fűtőelem, falra szerelhető vagy szabadon álló, napi és heti programozás, applikációval vezérelhető</t>
        </is>
      </c>
      <c r="C2158" s="1" t="n">
        <v>82290.0</v>
      </c>
      <c r="D2158" s="7" t="n">
        <f>HYPERLINK("https://www.somogyi.hu/product/noirot-e179113-spot-wifi-1000-bl-konvektor-futotest-1000-w-aluminium-futoelem-falra-szerelheto-vagy-szabadon-allo-napi-es-heti-programozas-applikacioval-vezerelheto-e179113-18949","https://www.somogyi.hu/product/noirot-e179113-spot-wifi-1000-bl-konvektor-futotest-1000-w-aluminium-futoelem-falra-szerelheto-vagy-szabadon-allo-napi-es-heti-programozas-applikacioval-vezerelheto-e179113-18949")</f>
        <v>0.0</v>
      </c>
      <c r="E2158" s="7" t="n">
        <f>HYPERLINK("https://www.somogyi.hu/data/img/product_main_images/small/18949.jpg","https://www.somogyi.hu/data/img/product_main_images/small/18949.jpg")</f>
        <v>0.0</v>
      </c>
      <c r="F2158" s="2" t="inlineStr">
        <is>
          <t>3465700054246</t>
        </is>
      </c>
      <c r="G2158" s="4" t="inlineStr">
        <is>
          <t>Szeretné otthonát intelligensen és kényelmesen fűteni, miközben minimalizálja az energiafogyasztást? A Noirot E179113 Spot WIFI 1000 BL konvektor fűtőtest tökéletes választás, ha egy olyan megoldást keres, amely nemcsak hatékony, de okostelefonról is egyszerűen vezérelhető. 
Az 1000 W teljesítményű fűtőtest alumínium fűtőeleme gyorsan és egyenletesen osztja el a meleget, miközben szatén fehér kialakítása stílusosan illeszkedik bármely helyiségbe. Kompakt méretének (440x420x110 mm) köszönhetően a készülék diszkrét, mégis hatékony fűtési megoldást biztosít.
Intelligens vezérlés a maximális kényelemért
A beépített digitális termosztát és a Capa Connect applikáció segítségével a Noirot E179113 Spot WIFI konvektor fűtőtest teljesen testre szabható, akár távolról is vezérelhető okostelefonról vagy táblagépről. Az applikáció lehetővé teszi, hogy napi és heti fűtési beállításokat hozzon létre, szobánként külön vezérelve a készülékeket. Az ideiglenes felülbírálat funkcióval gyorsan módosíthatja a hőmérsékletet, ha váratlanul változnának az igényei. A készülék On/Off hőmérséklet-szabályozása biztosítja, hogy mindig a kívánt hőmérsékletet érje el, miközben energiatakarékosan üzemel.
Biztonság és rugalmasság egy készülékben
Az IP24 védettségnek köszönhetően a Noirot Spot WIFI konvektor biztonságosan használható nedves helyiségekben is, mint például fürdőszobákban. A gyermekzár funkció megakadályozza a véletlen beállításokat, így Ön nyugodt lehet, hogy a fűtés mindig biztonságos. A készüléket falra szerelve vagy szabadon álló fűtőtestként is használhatja; utóbbi esetben a külön megvásárolható Noirot A691600 görgőkészlet biztosítja a könnyű áthelyezhetőséget.
Válassza a Noirot E179113 Spot WIFI 1000 BL konvektor fűtőtestet, és tapasztalja meg az okos fűtés előnyeit otthonában!</t>
        </is>
      </c>
    </row>
    <row r="2159">
      <c r="A2159" s="3" t="inlineStr">
        <is>
          <t>E176115</t>
        </is>
      </c>
      <c r="B2159" s="2" t="inlineStr">
        <is>
          <t>Noirot E176115 Spot Design 1500 BL konvektor fűtőtest, 1500 W, alumínium fűtőelem, falra szerelhető vagy szabadon álló, napi és heti programozás</t>
        </is>
      </c>
      <c r="C2159" s="1" t="n">
        <v>64690.0</v>
      </c>
      <c r="D2159" s="7" t="n">
        <f>HYPERLINK("https://www.somogyi.hu/product/noirot-e176115-spot-design-1500-bl-konvektor-futotest-1500-w-aluminium-futoelem-falra-szerelheto-vagy-szabadon-allo-napi-es-heti-programozas-e176115-18945","https://www.somogyi.hu/product/noirot-e176115-spot-design-1500-bl-konvektor-futotest-1500-w-aluminium-futoelem-falra-szerelheto-vagy-szabadon-allo-napi-es-heti-programozas-e176115-18945")</f>
        <v>0.0</v>
      </c>
      <c r="E2159" s="7" t="n">
        <f>HYPERLINK("https://www.somogyi.hu/data/img/product_main_images/small/18945.jpg","https://www.somogyi.hu/data/img/product_main_images/small/18945.jpg")</f>
        <v>0.0</v>
      </c>
      <c r="F2159" s="2" t="inlineStr">
        <is>
          <t>3465700054086</t>
        </is>
      </c>
      <c r="G2159" s="4" t="inlineStr">
        <is>
          <t>Hogyan érheti el a tökéletes hőmérsékletet otthonában, miközben energiatakarékos és elegáns megoldást választ? A Noirot E176115 Spot Design 1500 BL konvektor fűtőtest a tökéletes választás azok számára, akik modern és hatékony fűtési megoldást keresnek. 
Ez az 1500 W teljesítményű fűtőtest kiválóan alkalmas kisebb helyiségek fűtésére, ahol fontos a gyors és egyenletes hőelosztás. Az alumínium fűtőelem biztosítja a hatékony működést, míg a készülék kompakt mérete (440x580x104 mm) lehetővé teszi, hogy diszkréten illeszkedjen bármely belső térbe. A termék elegáns, szatén fehér színű kialakítása a francia formatervezés esztétikáját tükrözi, miközben maximális hatékonyságot nyújt.
Fejlett technológia a kényelmes mindennapokért
A Noirot Spot Design konvektor fűtőtest beépített digitális termosztáttal és elektronikus vezérléssel van felszerelve, amely lehetővé teszi a napi és heti programozást, így mindig az Ön igényeihez igazodó hőmérsékletet biztosít. A három előre beállított program mellett három testre szabható program is elérhető, így személyre szabhatja a fűtési beállításokat. A nyitott ablak érzékelő automatikusan felismeri a hirtelen hőmérséklet-csökkenést, és ennek megfelelően szabályozza a fűtést, hogy elkerülje az energiafelesleget. A hőmérséklet kalibrálás tovább növeli a pontosságot, így mindig a kívánt hőmérsékletet érheti el.
Biztonság és sokoldalúság a legmagasabb szinten
A készülék IP24 védettséggel rendelkezik, ami lehetővé teszi, hogy nedves környezetben, például fürdőszobában is biztonságosan használható legyen. A gyermekzár funkció gondoskodik arról, hogy a kicsik ne tudjanak véletlenül változtatni a beállításokon, így otthona mindig biztonságban van. A Noirot E176115 Spot Design konvektor fűtőtestet falra szerelve is használhatja, de ha szabadon álló megoldást szeretne, külön megvásárolható a Noirot A691600 görgőkészlet, amely lehetővé teszi a fűtőtest könnyű áthelyezését.
Válassza a Noirot E176115 Spot Design 1500 BL konvektor fűtőtestet, és élvezze az európai minőséget és a francia dizájn eleganciáját minden nap!</t>
        </is>
      </c>
    </row>
    <row r="2160">
      <c r="A2160" s="3" t="inlineStr">
        <is>
          <t>FKIR 270 WIFI</t>
        </is>
      </c>
      <c r="B2160" s="2" t="inlineStr">
        <is>
          <t>Home FKIR 270 WIFI álló SMART infra fűtőtest, hangtalan működés, 1000W, fehér</t>
        </is>
      </c>
      <c r="C2160" s="1" t="n">
        <v>114990.0</v>
      </c>
      <c r="D2160" s="7" t="n">
        <f>HYPERLINK("https://www.somogyi.hu/product/home-fkir-270-wifi-allo-smart-infra-futotest-hangtalan-mukodes-1000w-feher-fkir-270-wifi-18066","https://www.somogyi.hu/product/home-fkir-270-wifi-allo-smart-infra-futotest-hangtalan-mukodes-1000w-feher-fkir-270-wifi-18066")</f>
        <v>0.0</v>
      </c>
      <c r="E2160" s="7" t="n">
        <f>HYPERLINK("https://www.somogyi.hu/data/img/product_main_images/small/18066.jpg","https://www.somogyi.hu/data/img/product_main_images/small/18066.jpg")</f>
        <v>0.0</v>
      </c>
      <c r="F2160" s="2" t="inlineStr">
        <is>
          <t>5999084960889</t>
        </is>
      </c>
      <c r="G2160" s="4" t="inlineStr">
        <is>
          <t>Hogyan biztosíthatja otthonában a kényelmes meleget anélkül, hogy észrevenné a fűtőtest jelenlétét? A Home FKIR 270 WIFI álló SMART infra fűtőtest tökéletes megoldást kínál a hangtalan és hatékony fűtésre, miközben modern technológiával és stílusos megjelenéssel rendelkezik.
Ez a beltéri kivitelű fűtőtest 1000 W teljesítményével és magas sugárzó hő arányával gyorsan és egyenletesen fűti fel a helyiséget. A 270°-os infrasugárzási szögnek köszönhetően széles területet képes hatékonyan befűteni. Az érintőgombokkal és a TUYA applikációval könnyedén vezérelhető, így akár okostelefonjáról is beállíthatja a kívánt hőmérsékletet bárhonnan, ahol van internetkapcsolat.
A digitális termosztát segítségével pontosan szabályozhatja a hőmérsékletet 0–37°C között, míg a 24 órás kikapcsolás időzítő (1 órás egységekben) lehetővé teszi az energiatakarékos működést. A készülék magas minőségű fémházban és stabil fém lábakkal van ellátva, ami garantálja a tartósságot és a biztonságot. A fűtőtest felületi hőmérséklete ~90 °C, így hatékonyan adja le a hőt anélkül, hogy túlmelegedne. A Home FKIR 270 WIFI infra fűtőtest felborulás esetén automatikusan kikapcsol, emellett túlmelegedés elleni védelemmel is rendelkezik, így maximális biztonságot nyújt. A készülék tápellátása 220-240 V~ 50 Hz, méretei pedig 30x110x30 cm, így könnyen elhelyezhető bármely helyiségben.
Ne maradjon le erről a modern fűtési megoldásról! Szerezze be most a Home FKIR 270 WIFI álló SMART infra fűtőtestet, és élvezze a hangtalan, hatékony és kényelmes fűtést otthonában!</t>
        </is>
      </c>
    </row>
    <row r="2161">
      <c r="A2161" s="3" t="inlineStr">
        <is>
          <t>FMC 2000</t>
        </is>
      </c>
      <c r="B2161" s="2" t="inlineStr">
        <is>
          <t>Home FMC 2000 álló elektromos Mica konvektor, 1000W/2000W, távirányító, fehér</t>
        </is>
      </c>
      <c r="C2161" s="1" t="n">
        <v>28990.0</v>
      </c>
      <c r="D2161" s="7" t="n">
        <f>HYPERLINK("https://www.somogyi.hu/product/home-fmc-2000-allo-elektromos-mica-konvektor-1000w-2000w-taviranyito-feher-fmc-2000-18063","https://www.somogyi.hu/product/home-fmc-2000-allo-elektromos-mica-konvektor-1000w-2000w-taviranyito-feher-fmc-2000-18063")</f>
        <v>0.0</v>
      </c>
      <c r="E2161" s="7" t="n">
        <f>HYPERLINK("https://www.somogyi.hu/data/img/product_main_images/small/18063.jpg","https://www.somogyi.hu/data/img/product_main_images/small/18063.jpg")</f>
        <v>0.0</v>
      </c>
      <c r="F2161" s="2" t="inlineStr">
        <is>
          <t>5999084960858</t>
        </is>
      </c>
      <c r="G2161" s="4" t="inlineStr">
        <is>
          <t>Hogyan biztosíthat otthonában gyors és hatékony fűtést modern és stílusos kivitelben? A Home FMC 2000 álló elektromos Mica konvektor a tökéletes választás, amely nemcsak hatékony, hanem elegáns megoldást is kínál.
Ez a beltéri kivitelű konvektor MICA (lemezes szilikát ásvány) panelekkel rendelkezik, amelyek rendkívül gyorsan felmelegszenek és magas sugárzó hő arányt biztosítanak. Két fűtési fokozat közül választhat (1000 W és 2000 W), így mindig az igényeinek megfelelő hőmérsékletet érheti el. A digitális termosztát segítségével pontosan szabályozhatja a hőmérsékletet 18 és 30 °C között, míg a 12 órás kikapcsolás időzítő (0,5 órás egységekben) lehetőséget biztosít az energiatakarékos működésre.
A Home FMC 2000 konvektor elektronikus nyomógombokkal és távirányítóval is vezérelhető, így kényelmesen, akár a kanapéról is beállíthatja a kívánt hőmérsékletet. A csendes működés garantálja a zavartalan otthoni környezetet, míg a túlmelegedés és felborulás elleni védelem maximális biztonságot nyújt. A konvektor kerekeken könnyen gördíthető, így egyszerűen áthelyezhető a lakás bármely pontjára. A vezetéktároló praktikus megoldást nyújt a kábelek rendezett elhelyezésére. A távirányító tápellátása egy 3 V-os (CR2025) gombelem, amely tartozékként jár a készülékhez. A konvektor tápellátása 220-240 V~ / 50-60 Hz. A konvektor méretei (54x62x26,5(8) cm) révén könnyedén elhelyezhető bármely helyiségben, miközben modern és letisztult megjelenésével minden enteriőrbe illeszkedik.
Ne hagyja, hogy a hideg napok meglepjék! Szerezze be most a Home FMC 2000 álló elektromos Mica konvektort, és élvezze a gyors és hatékony fűtés előnyeit otthonában! Vásárolja meg még ma, és teremtsen komfortos környezetet szerettei számára!</t>
        </is>
      </c>
    </row>
    <row r="2162">
      <c r="A2162" s="3" t="inlineStr">
        <is>
          <t>FMC 1500</t>
        </is>
      </c>
      <c r="B2162" s="2" t="inlineStr">
        <is>
          <t>Home FMC 1500 álló elektromos Mica konvektor, 1000W/1500W, távirányító, fekete</t>
        </is>
      </c>
      <c r="C2162" s="1" t="n">
        <v>22590.0</v>
      </c>
      <c r="D2162" s="7" t="n">
        <f>HYPERLINK("https://www.somogyi.hu/product/home-fmc-1500-allo-elektromos-mica-konvektor-1000w-1500w-taviranyito-fekete-fmc-1500-18062","https://www.somogyi.hu/product/home-fmc-1500-allo-elektromos-mica-konvektor-1000w-1500w-taviranyito-fekete-fmc-1500-18062")</f>
        <v>0.0</v>
      </c>
      <c r="E2162" s="7" t="n">
        <f>HYPERLINK("https://www.somogyi.hu/data/img/product_main_images/small/18062.jpg","https://www.somogyi.hu/data/img/product_main_images/small/18062.jpg")</f>
        <v>0.0</v>
      </c>
      <c r="F2162" s="2" t="inlineStr">
        <is>
          <t>5999084960841</t>
        </is>
      </c>
      <c r="G2162" s="4" t="inlineStr">
        <is>
          <t>Hogyan biztosíthat otthonában gyors és hatékony fűtést modern és stílusos kivitelben? A Home FMC 1500 álló elektromos Mica konvektor a tökéletes választás, amely nemcsak hatékony, hanem elegáns megoldást is kínál.
Ez a beltéri kivitelű konvektor MICA (lemezes szilikát ásvány) panelekkel rendelkezik, amelyek rendkívül gyorsan felmelegszenek és magas sugárzó hő arányt biztosítanak. Két fűtési fokozat közül választhat (1000 W és 1500 W), így mindig az igényeinek megfelelő hőmérsékletet érheti el. A digitális termosztát segítségével pontosan szabályozhatja a hőmérsékletet 18 és 30 °C között, míg a 12 órás kikapcsolás időzítő (0,5 órás egységekben) lehetőséget biztosít az energiatakarékos működésre.
A Home FMC 1500 konvektor elektronikus nyomógombokkal és távirányítóval is vezérelhető, így kényelmesen, akár a kanapéról is beállíthatja a kívánt hőmérsékletet. A csendes működés garantálja a zavartalan otthoni környezetet, míg a túlmelegedés és felborulás elleni védelem maximális biztonságot nyújt. A konvektor kerekeken könnyen gördíthető, így egyszerűen áthelyezhető a lakás bármely pontjára. A vezetéktároló praktikus megoldást nyújt a kábelek rendezett elhelyezésére. A távirányító tápellátása egy 3 V-os (CR2025) gombelem, amely tartozékként jár a készülékhez. A konvektor tápellátása 220-240 V~ / 50-60 Hz. A konvektor méretei (45x62x26,5(8) cm) révén könnyedén elhelyezhető bármely helyiségben, miközben modern és letisztult megjelenésével minden enteriőrbe illeszkedik.
Ne hagyja, hogy a hideg napok meglepjék! Szerezze be most a Home FMC 1500 álló elektromos Mica konvektort, és élvezze a gyors és hatékony fűtés előnyeit otthonában!</t>
        </is>
      </c>
    </row>
    <row r="2163">
      <c r="A2163" s="3" t="inlineStr">
        <is>
          <t>E179117</t>
        </is>
      </c>
      <c r="B2163" s="2" t="inlineStr">
        <is>
          <t>Noirot E179117 Spot WIFI 2000 BL konvektor fűtőtest, 2000 W, alumínium fűtőelem, falra szerelhető vagy szabadon álló, napi és heti programozás, applikációval vezérelhető</t>
        </is>
      </c>
      <c r="C2163" s="1" t="n">
        <v>103990.0</v>
      </c>
      <c r="D2163" s="7" t="n">
        <f>HYPERLINK("https://www.somogyi.hu/product/noirot-e179117-spot-wifi-2000-bl-konvektor-futotest-2000-w-aluminium-futoelem-falra-szerelheto-vagy-szabadon-allo-napi-es-heti-programozas-applikacioval-vezerelheto-e179117-18951","https://www.somogyi.hu/product/noirot-e179117-spot-wifi-2000-bl-konvektor-futotest-2000-w-aluminium-futoelem-falra-szerelheto-vagy-szabadon-allo-napi-es-heti-programozas-applikacioval-vezerelheto-e179117-18951")</f>
        <v>0.0</v>
      </c>
      <c r="E2163" s="7" t="n">
        <f>HYPERLINK("https://www.somogyi.hu/data/img/product_main_images/small/18951.jpg","https://www.somogyi.hu/data/img/product_main_images/small/18951.jpg")</f>
        <v>0.0</v>
      </c>
      <c r="F2163" s="2" t="inlineStr">
        <is>
          <t>3465700054260</t>
        </is>
      </c>
      <c r="G2163" s="4" t="inlineStr">
        <is>
          <t>Szeretné otthonát intelligensen és kényelmesen fűteni, miközben minimalizálja az energiafogyasztást? A Noirot E179117 Spot WIFI 2000 BL konvektor fűtőtest tökéletes választás, ha egy olyan megoldást keres, amely nemcsak hatékony, de okostelefonról is egyszerűen vezérelhető. 
Az 2000 W teljesítményű fűtőtest alumínium fűtőeleme gyorsan és egyenletesen osztja el a meleget, miközben szatén fehér kialakítása stílusosan illeszkedik bármely helyiségbe. Kompakt méretének (440x740x110 mm) köszönhetően a készülék diszkrét, mégis hatékony fűtési megoldást biztosít.
Intelligens vezérlés a maximális kényelemért
A beépített digitális termosztát és a Capa Connect applikáció segítségével a Noirot E179117 Spot WIFI konvektor fűtőtest teljesen testre szabható, akár távolról is vezérelhető okostelefonról vagy táblagépről. Az applikáció lehetővé teszi, hogy napi és heti fűtési beállításokat hozzon létre, szobánként külön vezérelve a készülékeket. Az ideiglenes felülbírálat funkcióval gyorsan módosíthatja a hőmérsékletet, ha váratlanul változnának az igényei. A készülék On/Off hőmérséklet-szabályozása biztosítja, hogy mindig a kívánt hőmérsékletet érje el, miközben energiatakarékosan üzemel.
Biztonság és rugalmasság egy készülékben
Az IP24 védettségnek köszönhetően a Noirot Spot WIFI konvektor biztonságosan használható nedves helyiségekben is, mint például fürdőszobákban. A gyermekzár funkció megakadályozza a véletlen beállításokat, így Ön nyugodt lehet, hogy a fűtés mindig biztonságos. A készüléket falra szerelve vagy szabadon álló fűtőtestként is használhatja; utóbbi esetben a külön megvásárolható Noirot A691600 görgőkészlet biztosítja a könnyű áthelyezhetőséget.
Válassza a Noirot E179117 Spot WIFI 2000 BL konvektor fűtőtestet, és tapasztalja meg az okos fűtés előnyeit otthonában!</t>
        </is>
      </c>
    </row>
    <row r="2164">
      <c r="A2164" s="3" t="inlineStr">
        <is>
          <t>E221124</t>
        </is>
      </c>
      <c r="B2164" s="2" t="inlineStr">
        <is>
          <t>Noirot E221124 RSS Anuri DY 1200 AN törölközőszárító, 1200 W, IP24 védettség, beépített ventilátor, gyerekzár, antracit szürke</t>
        </is>
      </c>
      <c r="C2164" s="1" t="n">
        <v>219990.0</v>
      </c>
      <c r="D2164" s="7" t="n">
        <f>HYPERLINK("https://www.somogyi.hu/product/noirot-e221124-rss-anuri-dy-1200-an-torolkozoszarito-1200-w-ip24-vedettseg-beepitett-ventilator-gyerekzar-antracit-szurke-e221124-18977","https://www.somogyi.hu/product/noirot-e221124-rss-anuri-dy-1200-an-torolkozoszarito-1200-w-ip24-vedettseg-beepitett-ventilator-gyerekzar-antracit-szurke-e221124-18977")</f>
        <v>0.0</v>
      </c>
      <c r="E2164" s="7" t="n">
        <f>HYPERLINK("https://www.somogyi.hu/data/img/product_main_images/small/18977.jpg","https://www.somogyi.hu/data/img/product_main_images/small/18977.jpg")</f>
        <v>0.0</v>
      </c>
      <c r="F2164" s="2" t="inlineStr">
        <is>
          <t>3465700056363</t>
        </is>
      </c>
      <c r="G2164" s="4" t="inlineStr">
        <is>
          <t>Hogyan teremthet gyorsan kellemes meleget és száraz törölközőket fürdőszobájában? A Noirot E221124 RSS Anuri DY 1200 AN törölközőszárító tökéletes választás, ha egy modern, hatékony és esztétikus fűtési megoldást keres. 
Az 1200 W teljesítményű készülék (500 W normál + 700 W ventilátoros fűtés) belső fűtőeleme egy darab alumíniumból készült, természetes módon melegítve és fenntartva a hőmérsékletet, a ventilátort bekapcsolva gyorsan felmelegíti a fürdőszobát. A beépített ventilátor porszűrővel ellátott, hogy tisztán tartsa a levegőt és biztosítsa a kényelmes hőmérsékletet. Az IP24 védettségnek köszönhetően a készülék biztonságosan használható nedves környezetben, például fürdőszobákban.
Fejlett funkciók a hatékony és kényelmes használatért
A Noirot Anuri törölközőszárító ultrapontos elektronikus vezérléssel és megvilágított LCD kijelzővel rendelkezik, amelyen keresztül könnyedén szabályozhatja a hőmérsékletet és a fűtési programokat. Három előre beállított és három testre szabható program biztosítja, hogy a fűtés mindig az Ön igényeihez igazodjon. A 2 órás BOOST funkció azonnal felerősíti a fűtést, hogy a helyiség és a törölközők is gyorsan melegek legyenek, míg a nyitott ablak érzékelő segít elkerülni az energiapazarlást. A ventilátor telítettség érzékelője jelzi, ha a porszűrőt tisztítani kell, így a készülék mindig hatékonyan működik.
Biztonságos, stílusos és praktikus megoldás a mindennapokra
A fali függőleges kivitel és az elegáns antracit szürke szín modern megjelenést biztosít bármely fürdőszobában. A beépített gyerekzár megakadályozza, hogy a beállítások véletlenül megváltozzanak. Az alumínium fűtőelem gyorsan felmelegíti az elülső panelt, így az egész helyiségben kellemes, egyenletes hőmérsékletet biztosít. A 7,6 kg-os készülék kompakt mérete (741x366x174 mm) lehetővé teszi, hogy könnyedén illeszkedjen a fürdőszoba falára, miközben optimális meleget biztosít.
Válassza a Noirot E221124 RSS Anuri DY 1200 AN törölközőszárítót, és tapasztalja meg a fürdőszobai komfort legmagasabb szintjét!</t>
        </is>
      </c>
    </row>
    <row r="2165">
      <c r="A2165" s="3" t="inlineStr">
        <is>
          <t>E179118</t>
        </is>
      </c>
      <c r="B2165" s="2" t="inlineStr">
        <is>
          <t>Noirot E179118 Spot WIFI 2500 BL konvektor fűtőtest, 2500 W, alumínium fűtőelem, falra szerelhető vagy szabadon álló, napi és heti programozás, applikációval vezérelhető</t>
        </is>
      </c>
      <c r="C2165" s="1" t="n">
        <v>113990.0</v>
      </c>
      <c r="D2165" s="7" t="n">
        <f>HYPERLINK("https://www.somogyi.hu/product/noirot-e179118-spot-wifi-2500-bl-konvektor-futotest-2500-w-aluminium-futoelem-falra-szerelheto-vagy-szabadon-allo-napi-es-heti-programozas-applikacioval-vezerelheto-e179118-18952","https://www.somogyi.hu/product/noirot-e179118-spot-wifi-2500-bl-konvektor-futotest-2500-w-aluminium-futoelem-falra-szerelheto-vagy-szabadon-allo-napi-es-heti-programozas-applikacioval-vezerelheto-e179118-18952")</f>
        <v>0.0</v>
      </c>
      <c r="E2165" s="7" t="n">
        <f>HYPERLINK("https://www.somogyi.hu/data/img/product_main_images/small/18952.jpg","https://www.somogyi.hu/data/img/product_main_images/small/18952.jpg")</f>
        <v>0.0</v>
      </c>
      <c r="F2165" s="2" t="inlineStr">
        <is>
          <t>3465700054277</t>
        </is>
      </c>
      <c r="G2165" s="4" t="inlineStr">
        <is>
          <t>Szeretné otthonát intelligensen és kényelmesen fűteni, miközben minimalizálja az energiafogyasztást? A Noirot E179118 Spot WIFI 2500 BL konvektor fűtőtest tökéletes választás, ha egy olyan megoldást keres, amely nemcsak hatékony, de okostelefonról is egyszerűen vezérelhető. 
Az 2500 W teljesítményű fűtőtest alumínium fűtőeleme gyorsan és egyenletesen osztja el a meleget, miközben szatén fehér kialakítása stílusosan illeszkedik bármely helyiségbe. Kompakt méretének (440x900x110 mm) köszönhetően a készülék diszkrét, mégis hatékony fűtési megoldást biztosít.
Intelligens vezérlés a maximális kényelemért
A beépített digitális termosztát és a Capa Connect applikáció segítségével a Noirot E179118 Spot WIFI konvektor fűtőtest teljesen testre szabható, akár távolról is vezérelhető okostelefonról vagy táblagépről. Az applikáció lehetővé teszi, hogy napi és heti fűtési beállításokat hozzon létre, szobánként külön vezérelve a készülékeket. Az ideiglenes felülbírálat funkcióval gyorsan módosíthatja a hőmérsékletet, ha váratlanul változnának az igényei. A készülék On/Off hőmérséklet-szabályozása biztosítja, hogy mindig a kívánt hőmérsékletet érje el, miközben energiatakarékosan üzemel.
Biztonság és rugalmasság egy készülékben
Az IP24 védettségnek köszönhetően a Noirot Spot WIFI konvektor biztonságosan használható nedves helyiségekben is, mint például fürdőszobákban. A gyermekzár funkció megakadályozza a véletlen beállításokat, így Ön nyugodt lehet, hogy a fűtés mindig biztonságos. A készüléket falra szerelve vagy szabadon álló fűtőtestként is használhatja; utóbbi esetben a külön megvásárolható Noirot A691600 görgőkészlet biztosítja a könnyű áthelyezhetőséget.
Válassza a Noirot E179118 Spot WIFI 2500 BL konvektor fűtőtestet, és tapasztalja meg az okos fűtés előnyeit otthonában!</t>
        </is>
      </c>
    </row>
    <row r="2166">
      <c r="A2166" s="3" t="inlineStr">
        <is>
          <t>E211127</t>
        </is>
      </c>
      <c r="B2166" s="2" t="inlineStr">
        <is>
          <t>Noirot E211127 Verlys 2000 NR elektromos radiátor, 2000 W, konvektív és infravörös fűtési mód, IP24 védettség, edzett üveg előlap, antracit szürke</t>
        </is>
      </c>
      <c r="C2166" s="1" t="n">
        <v>264990.0</v>
      </c>
      <c r="D2166" s="7" t="n">
        <f>HYPERLINK("https://www.somogyi.hu/product/noirot-e211127-verlys-2000-nr-elektromos-radiator-2000-w-konvektiv-es-infravoros-futesi-mod-ip24-vedettseg-edzett-uveg-elolap-antracit-szurke-e211127-18974","https://www.somogyi.hu/product/noirot-e211127-verlys-2000-nr-elektromos-radiator-2000-w-konvektiv-es-infravoros-futesi-mod-ip24-vedettseg-edzett-uveg-elolap-antracit-szurke-e211127-18974")</f>
        <v>0.0</v>
      </c>
      <c r="E2166" s="7" t="n">
        <f>HYPERLINK("https://www.somogyi.hu/data/img/product_main_images/small/18974.jpg","https://www.somogyi.hu/data/img/product_main_images/small/18974.jpg")</f>
        <v>0.0</v>
      </c>
      <c r="F2166" s="2" t="inlineStr">
        <is>
          <t>3465700054772</t>
        </is>
      </c>
      <c r="G2166" s="4" t="inlineStr">
        <is>
          <t>Hogyan élvezhet kényelmes meleget, miközben energiát takarít meg otthonában? A Noirot E211127 Verlys 2000 NR elektromos radiátor a tökéletes választás, ha egyszerre szeretne gyorsan felfűtött helyiségeket és energiahatékony megoldást. 
Az 2000 W teljesítményű radiátor ötvözi a konvektív és az infravörös fűtési technológiát, hogy maximális hatékonysággal melegítse fel otthonát. A modern, 6 mm vastag edzett üveg előlap nemcsak stílusos megjelenést nyújt, hanem a teljesítmény 20%-át is sugárzó hő formájában bocsátja ki a rányomtatott fűtőfólia segítségével, míg a készülék 80%-át az alumínium reaktív sugárzó biztosítja a gyors felmelegedéshez.
Fejlett funkciók a maximális kényelemért
A radiátor IP24 védettséggel rendelkezik, ami lehetővé teszi a biztonságos használatot akár fürdőszobában is. A nyitott ablak érzékelő automatikusan csökkenti a fűtést, ha huzatot észlel, ezáltal elkerüli az energiapazarlást. Heti programozási lehetőséggel és három előre beállított, valamint három testre szabható programmal a fűtés teljesen igazítható az Ön időbeosztásához. A 0,1 tized fokos pontosságú beépített termosztát és LCD kijelző gondoskodik arról, hogy mindig a kívánt hőmérsékletet tartsa.
Biztonság és rugalmasság minden helyzetben
A Noirot Verlys 2000 NR radiátor gyermekzárral és PIN-kódos lezárással védi a beállításokat, így gyerekek vagy illetéktelenek nem módosíthatják azokat. A 6 órás memória áramszünet esetére megőrzi a beállításokat, így nem kell újra konfigurálnia a készüléket. A radiátor fali és szabadon álló kivitelben is használható, de szabadon álló megoldáshoz külön megvásárolható görgőkészlet szükséges. Az elegáns antracit szürke szín és a kompakt méret (480x1000x95 mm) modern megjelenést biztosít, míg a 14,0 kg-os tömeg stabil elhelyezést garantál.
Válassza a Noirot E211127 Verlys 2000 NR elektromos radiátort, és tapasztalja meg az intelligens, energiatakarékos fűtés előnyeit! Rendelje meg most, és élvezze otthona kényelmét a téli hidegben is!</t>
        </is>
      </c>
    </row>
    <row r="2167">
      <c r="A2167" s="3" t="inlineStr">
        <is>
          <t>E219113</t>
        </is>
      </c>
      <c r="B2167" s="2" t="inlineStr">
        <is>
          <t>Noirot E219113 Caldera 2 H 1000 BL lávaköves radiátor, 1000 W, IP24 védettség, alumínium és lávakő fűtőelem, gyermekzár, LCD kijelző</t>
        </is>
      </c>
      <c r="C2167" s="1" t="n">
        <v>213990.0</v>
      </c>
      <c r="D2167" s="7" t="n">
        <f>HYPERLINK("https://www.somogyi.hu/product/noirot-e219113-caldera-2-h-1000-bl-lavakoves-radiator-1000-w-ip24-vedettseg-aluminium-es-lavako-futoelem-gyermekzar-lcd-kijelzo-e219113-18963","https://www.somogyi.hu/product/noirot-e219113-caldera-2-h-1000-bl-lavakoves-radiator-1000-w-ip24-vedettseg-aluminium-es-lavako-futoelem-gyermekzar-lcd-kijelzo-e219113-18963")</f>
        <v>0.0</v>
      </c>
      <c r="E2167" s="7" t="n">
        <f>HYPERLINK("https://www.somogyi.hu/data/img/product_main_images/small/18963.jpg","https://www.somogyi.hu/data/img/product_main_images/small/18963.jpg")</f>
        <v>0.0</v>
      </c>
      <c r="F2167" s="2" t="inlineStr">
        <is>
          <t>3465700056226</t>
        </is>
      </c>
      <c r="G2167" s="4" t="inlineStr">
        <is>
          <t>Hogyan teremthet otthonában kellemes meleget, miközben energiatakarékos megoldást választ? A Noirot E219113 Caldera 2 H 1000 BL lávaköves radiátor a tökéletes fűtési megoldás, amely ötvözi a modern technológiát és a természetes hőtároló anyagokat. 
Az 1000 W teljesítményű, 612x610x123mm méretekkel rendelkező fűtőtest alumínium és lávakő fűtőeleme biztosítja a hosszan tartó és egyenletes hőleadást, miközben IP24 védettsége lehetővé teszi a biztonságos használatot akár nedves környezetben is, például fürdőszobában. A Noirot laboratóriumában kifejlesztett, egyedülálló, exkluzív "INERFRONT" eljárás egy szabadalmaztatott, egy darabból álló alumíniumból készült kettős fűtőelemet tartalmaz, amelyet közvetlenül a radiátor elejére rögzített lávatömbökkel kombinálnak. Ez az egyedülálló rendszer egyszerre biztosítja a hőmérséklet gyors emelkedését és a kiváló természetes hőtehetetlenséget, ami kíméletes, egyenletes meleget garantál az egész helyiségben. 
Intelligens vezérlés a maximális kényelemért
A készülék beépített termosztátja LCD kijelzővel rendelkezik, amely rendkívül pontos hőmérséklet-szabályozást biztosít. A nyitott ablak érzékelő funkció automatikusan csökkenti a teljesítményt, ha huzatot érzékel, így megelőzi az energiafelesleget. A jelenlét érzékelő és az automatikus programozási funkciók révén a radiátor csak akkor működik, amikor valóban szükség van rá. A heti programozási lehetőséggel három előre beállított és három testre szabható programot állíthat be, hogy a fűtés pontosan az Ön életstílusához igazodjon.
Biztonság és energiahatékonyság egy készülékben
A Noirot Caldera 2 H fali radiátor gyermekzár funkcióval és PIN-kódos lezárással van ellátva, így biztosítva, hogy a beállításokat csak az arra jogosult személyek módosíthassák.
Válassza a Noirot E219113 Caldera 2 H 1000 BL lávaköves radiátort, és élvezze az európai minőségű, energiatakarékos és intelligens fűtést!</t>
        </is>
      </c>
    </row>
    <row r="2168">
      <c r="A2168" s="3" t="inlineStr">
        <is>
          <t>E223113</t>
        </is>
      </c>
      <c r="B2168" s="2" t="inlineStr">
        <is>
          <t>Noirot E223113 Walter H 1000 BL aktív öntöttvas radiátor, 1000 W, öntöttvas fűtőelem, IP24 védettség, gyermekzár, LCD kijelző</t>
        </is>
      </c>
      <c r="C2168" s="1" t="n">
        <v>201990.0</v>
      </c>
      <c r="D2168" s="7" t="n">
        <f>HYPERLINK("https://www.somogyi.hu/product/noirot-e223113-walter-h-1000-bl-aktiv-ontottvas-radiator-1000-w-ontottvas-futoelem-ip24-vedettseg-gyermekzar-lcd-kijelzo-e223113-18966","https://www.somogyi.hu/product/noirot-e223113-walter-h-1000-bl-aktiv-ontottvas-radiator-1000-w-ontottvas-futoelem-ip24-vedettseg-gyermekzar-lcd-kijelzo-e223113-18966")</f>
        <v>0.0</v>
      </c>
      <c r="E2168" s="7" t="n">
        <f>HYPERLINK("https://www.somogyi.hu/data/img/product_main_images/small/18966.jpg","https://www.somogyi.hu/data/img/product_main_images/small/18966.jpg")</f>
        <v>0.0</v>
      </c>
      <c r="F2168" s="2" t="inlineStr">
        <is>
          <t>3465700056318</t>
        </is>
      </c>
      <c r="G2168" s="4" t="inlineStr">
        <is>
          <t>Hogyan biztosíthatja otthona kellemes és hosszan tartó melegét a legmodernebb technológiával? A Noirot E223113 Walter H 1000 BL aktív öntöttvas radiátor a tökéletes megoldás, ha hatékony, mégis energiatakarékos fűtést keres. 
Az 1000 W teljesítményű radiátor öntöttvas fűtőeleme kiemelkedő hőtárolási képességgel rendelkezik, így hosszabb ideig tartja meg a meleget, mint a hagyományos fűtőtestek. A készülék IP24 védettsége lehetővé teszi a biztonságos használatot akár nedves helyiségekben, mint például fürdőszobákban is. Szabadalmaztatott aktív öntöttvas technológia: az öntöttvas blokk szívébe ágyazott ellenállás gyors hőmérsékletemelkedést tesz lehetővé, miközben kellemes, egyenletes meleget biztosít. 
Intelligens vezérlés és személyre szabható beállítások
A Noirot Walter H radiátor beépített termosztáttal és LCD kijelzővel rendelkezik, amely ultrapontos hőmérséklet-szabályozást biztosít. A nyitott ablak érzékelő felismeri a huzatot, és automatikusan csökkenti a fűtést, ezzel segítve az energia megtakarítását. A jelenlét érzékelő automatikusan szabályozza a működést az Ön jelenlétéhez igazodva. Heti programozás funkcióval három előre beállított és három testre szabható program áll rendelkezésére, hogy a fűtés tökéletesen alkalmazkodjon életviteléhez. A PIN-kódos lezárás és a gyermekzár további biztonságot nyújt a beállítások védelmében.
Modern dizájn és praktikus funkciók egy készülékben
A radiátor letisztult, fehér színű, vízszintes fali elhelyezésű kialakítása könnyedén illeszkedik bármilyen modern enteriőrbe. Az áramszünet esetén a készülék megtartja a beállításokat, így a fűtés zavartalanul folytatódik az áramellátás visszaállításával. A méretei (530x440x125 mm) és 12 kg-os tömege mellett a Noirot Walter H radiátor praktikus és megbízható megoldás minden otthon és üzlethelyiség számára.
Válassza a Noirot E223113 Walter H 1000 BL aktív öntöttvas radiátort, és élvezze az energiatakarékos, hosszan tartó meleget otthonában!</t>
        </is>
      </c>
    </row>
    <row r="2169">
      <c r="A2169" s="3" t="inlineStr">
        <is>
          <t>E222113</t>
        </is>
      </c>
      <c r="B2169" s="2" t="inlineStr">
        <is>
          <t>Noirot E222113 Amaroc H 1000 BL kerámia fűtőtest, 1500 W, IP24 védettség, nyitott ablak érzékelő, gyermekzár, fali kivitel</t>
        </is>
      </c>
      <c r="C2169" s="1" t="n">
        <v>119990.0</v>
      </c>
      <c r="D2169" s="7" t="n">
        <f>HYPERLINK("https://www.somogyi.hu/product/noirot-e222113-amaroc-h-1000-bl-keramia-futotest-1500-w-ip24-vedettseg-nyitott-ablak-erzekelo-gyermekzar-fali-kivitel-e222113-18960","https://www.somogyi.hu/product/noirot-e222113-amaroc-h-1000-bl-keramia-futotest-1500-w-ip24-vedettseg-nyitott-ablak-erzekelo-gyermekzar-fali-kivitel-e222113-18960")</f>
        <v>0.0</v>
      </c>
      <c r="E2169" s="7" t="n">
        <f>HYPERLINK("https://www.somogyi.hu/data/img/product_main_images/small/18960.jpg","https://www.somogyi.hu/data/img/product_main_images/small/18960.jpg")</f>
        <v>0.0</v>
      </c>
      <c r="F2169" s="2" t="inlineStr">
        <is>
          <t>3465700056257</t>
        </is>
      </c>
      <c r="G2169" s="4" t="inlineStr">
        <is>
          <t>Szeretne energiatakarékos, mégis hosszan tartó meleget otthonában? A Noirot E222113 Amaroc H 1000 BL kerámia fűtőtest ideális választás, ha hatékony és költségtakarékos fűtési megoldást keres. 
Ez az 1000 W teljesítményű készülék természetes kőből készült, kerámia tömbbe öntött fűtőelemmel rendelkezik, amely kíméletes és hosszan tartó meleget biztosít. A fali kivitelű hősugárzó stílusos megjelenésével könnyedén illeszkedik bármely belső térbe, miközben a legmodernebb technológiát kínálja. Elülső nyílása biztosítja az optimális hőeloszlást, így kényelmet és eleganciát nyújt a helyiségben.
Innovatív technológia a hatékony és kényelmes fűtésért
A Noirot Amaroc H fűtőtest IP24 védettséggel rendelkezik, így biztonságosan használható nedves helyiségekben is, például fürdőszobákban. A nyitott ablak érzékelő automatikusan csökkenti a teljesítményt, ha huzatot érzékel, így elkerülheti az energiafelesleget. A készülék három előre beállított és három testre szabható fűtési programot kínál, hogy igényeihez igazíthassa a fűtést. A beépített termosztát LCD kijelzője 0,1 tized fokos pontossággal szabályozza a hőmérsékletet, garantálva az optimális komfortot.
Maximális biztonság és praktikus funkciók
A gyermekzár és a PIN-kódos lezárás extra védelmet nyújt, hogy a beállításokat csak jogosult személyek módosíthassák. A fűtőtest 6 órás memóriával rendelkezik áramszünet esetére, így a beállítások az áramellátás visszatérése után is megmaradnak. A letisztult, fehér színű dizájn modern és elegáns megjelenést biztosít, így bármilyen lakó- vagy üzlethelyiségben megállja a helyét.
Válassza a Noirot E222113 Amaroc H 1000 BL kerámia fűtőtestet, és élvezze a hosszan tartó meleget, amely a letisztult francia formatervezés és az európai minőség jegyében készült!</t>
        </is>
      </c>
    </row>
    <row r="2170">
      <c r="A2170" s="3" t="inlineStr">
        <is>
          <t>FK 190 TURBO</t>
        </is>
      </c>
      <c r="B2170" s="2" t="inlineStr">
        <is>
          <t>Home FK 190 TURBO álló elektromos konvektor turbó fűtőtest, 800W/2000W, fehér</t>
        </is>
      </c>
      <c r="C2170" s="1" t="n">
        <v>20590.0</v>
      </c>
      <c r="D2170" s="7" t="n">
        <f>HYPERLINK("https://www.somogyi.hu/product/home-fk-190-turbo-allo-elektromos-konvektor-turbo-futotest-800w-2000w-feher-fk-190-turbo-15977","https://www.somogyi.hu/product/home-fk-190-turbo-allo-elektromos-konvektor-turbo-futotest-800w-2000w-feher-fk-190-turbo-15977")</f>
        <v>0.0</v>
      </c>
      <c r="E2170" s="7" t="n">
        <f>HYPERLINK("https://www.somogyi.hu/data/img/product_main_images/small/15977.jpg","https://www.somogyi.hu/data/img/product_main_images/small/15977.jpg")</f>
        <v>0.0</v>
      </c>
      <c r="F2170" s="2" t="inlineStr">
        <is>
          <t>5999084940119</t>
        </is>
      </c>
      <c r="G2170" s="4" t="inlineStr">
        <is>
          <t>Szeretne egy olyan fűtőtestet, amely gyorsan és hatékonyan melegíti fel otthonát, miközben egyszerűen kezelhető és biztonságos? A Home FK 190 TURBO álló konvektor ideális választás minden olyan otthon számára, ahol fontos a gyors és hatékony fűtés. 
Ez az elegáns fehér színű készülék két fűtési fokozattal rendelkezik: 800 W és 2000 W, így bármikor az igényeinek megfelelő hőmérsékletet biztosíthat. A különleges kialakítású fokozatkapcsoló és a mechanikus termosztát segítségével könnyedén szabályozhatja a készüléket, így mindig optimális komfortot nyújt. A készülék külön kapcsolható turbóventilátor funkcióval is rendelkezik, amely gyorsabb hőelosztást biztosít, így még hatékonyabbá teszi a fűtést. Az automatikus kikapcsolás túlmelegedés esetén garantálja a biztonságos használatot, így nyugodtan élvezheti a meleget. A Home FK 190 TURBO konvektor szabadon álló kivitelének köszönhetően bárhol elhelyezhető a lakásban, legyen az nappali, hálószoba vagy iroda. A készülék kompakt mérete (68 x 46,5 x 19 cm) lehetővé teszi a könnyű mozgatást és elhelyezést.
Ne hagyja, hogy a hideg megzavarja otthona kényelmét – rendelje meg a Home FK 190 TURBO álló konvektort még ma, és élvezze a gyors és hatékony fűtést minden nap!</t>
        </is>
      </c>
    </row>
    <row r="2171">
      <c r="A2171" s="3" t="inlineStr">
        <is>
          <t>FK210WIFI</t>
        </is>
      </c>
      <c r="B2171" s="2" t="inlineStr">
        <is>
          <t>Home FK210WIFI SMART konvektor fűtőtest, falra szerelhető vagy szabadonálló 1000W, IPX4, LED kijelző</t>
        </is>
      </c>
      <c r="C2171" s="1" t="n">
        <v>34990.0</v>
      </c>
      <c r="D2171" s="7" t="n">
        <f>HYPERLINK("https://www.somogyi.hu/product/home-fk210wifi-smart-konvektor-futotest-falra-szerelheto-vagy-szabadonallo-1000w-ipx4-led-kijelzo-fk210wifi-18579","https://www.somogyi.hu/product/home-fk210wifi-smart-konvektor-futotest-falra-szerelheto-vagy-szabadonallo-1000w-ipx4-led-kijelzo-fk210wifi-18579")</f>
        <v>0.0</v>
      </c>
      <c r="E2171" s="7" t="n">
        <f>HYPERLINK("https://www.somogyi.hu/data/img/product_main_images/small/18579.jpg","https://www.somogyi.hu/data/img/product_main_images/small/18579.jpg")</f>
        <v>0.0</v>
      </c>
      <c r="F2171" s="2" t="inlineStr">
        <is>
          <t>5999084965976</t>
        </is>
      </c>
      <c r="G2171" s="4" t="inlineStr">
        <is>
          <t>Szeretné otthona hőmérsékletét okostelefonról vezérelni, bárhol is legyen? A Home FK210WIFI SMART konvektor fűtőtest tökéletes megoldás, ha egy modern, hatékony és könnyen kezelhető fűtési rendszert keres. 
Ez a fűtőtest Wi-Fi kapcsolaton keresztül okostelefonról is vezérelhető, így mindig biztos lehet benne, hogy otthona kellemes hőmérsékletű lesz. A 1000 W teljesítményű fűtőtest gyorsan és hatékonyan melegíti fel a helyiséget, míg az IPX4 fröccsenő víz elleni védelem biztonságos használatot tesz lehetővé fürdőszobában is. A készülék szabadonálló vagy falra rögzíthető, így rugalmasan alkalmazkodik igényeihez.
A Home FK210WIFI SMART konvektor fagyőrként is használható, amely 7°C-on tartja a helyiséget, hogy megakadályozza a fagyást. A termosztátvezérelt üzemmód 5-35°C között állítható, így mindig pontosan a kívánt hőmérsékletet érheti el. Az elektronikus nyomógombok és a digitális LED kijelző egyszerű és intuitív kezelést biztosítanak. A heti programozhatóság és az ablaknyitás-érzékelés funkciók lehetővé teszik a fűtési időszakok és a hőmérséklet optimális beállítását, növelve ezzel az energiahatékonyságot. A 24 órás kikapcsolás időzítő segítségével pedig előre beállíthatja a fűtőtest működésének idejét.
A festett acél felület nemcsak esztétikus, de tartós is, és a főkapcsolóval egyszerűen ki- és bekapcsolható a készülék. A túlmelegedés elleni védelem extra biztonságot nyújt, így nyugodtan használhatja a készüléket. A csomag tartalmazza a falra rögzítéshez szükséges csavarokat és tipliket, így könnyedén felszerelheti a fűtőtestet. A Home FK210WIFI SMART konvektor fűtőtest méretei 99 x 23,5 x 22 cm, ami kompakt és könnyen elhelyezhető bármely helyiségben.
Ne habozzon, válassza a Home FK210WIFI SMART konvektor fűtőtestet, és élvezze a kényelmet és a modern technológia nyújtotta előnyöket otthonában!</t>
        </is>
      </c>
    </row>
    <row r="2172">
      <c r="A2172" s="3" t="inlineStr">
        <is>
          <t>BIN8210 ADXF2400</t>
        </is>
      </c>
      <c r="B2172" s="2" t="inlineStr">
        <is>
          <t>Home BIN8210 hőtárolós smart fűtőtest, 750 W - 2400 W, TUYA applikáció, túlmelegedés védelem, gyerekzár, automata és manuális üzemmód</t>
        </is>
      </c>
      <c r="C2172" s="1" t="n">
        <v>179990.0</v>
      </c>
      <c r="D2172" s="7" t="n">
        <f>HYPERLINK("https://www.somogyi.hu/product/home-bin8210-hotarolos-smart-futotest-750-w-2400-w-tuya-applikacio-tulmelegedes-vedelem-gyerekzar-automata-es-manualis-uzemmod-bin8210-adxf2400-18408","https://www.somogyi.hu/product/home-bin8210-hotarolos-smart-futotest-750-w-2400-w-tuya-applikacio-tulmelegedes-vedelem-gyerekzar-automata-es-manualis-uzemmod-bin8210-adxf2400-18408")</f>
        <v>0.0</v>
      </c>
      <c r="E2172" s="7" t="n">
        <f>HYPERLINK("https://www.somogyi.hu/data/img/product_main_images/small/18408.jpg","https://www.somogyi.hu/data/img/product_main_images/small/18408.jpg")</f>
        <v>0.0</v>
      </c>
      <c r="F2172" s="2" t="inlineStr">
        <is>
          <t>8606107662114</t>
        </is>
      </c>
      <c r="G2172" s="4" t="inlineStr">
        <is>
          <t>Kíváncsi, hogyan teheti otthonát még kényelmesebbé és energiatakarékosabbá? A Home BIN8210 hőtárolós smart fűtőtest intelligens megoldást kínál a modern otthonok számára.
Ez a 2400 W-os hőtároló és 750 W-os kiegyenlítő fűtési teljesítményű készülék a TUYA alkalmazáson keresztül vezérelhető, lehetővé téve, hogy Ön bárhonnan, bármikor szabályozhassa otthona hőmérsékletét. Az alapértelmezett 8 órás első hőtárolási időszaknak köszönhetően az éjszaka folyamán felhalmozott hő egész nap kellemes meleget biztosít.
Két beállítható hőtároló időszakkal, automatikus és manuális üzemmóddal, valamint egy öntanuló funkcióval, amely adaptív bekapcsolásvezérlést tesz lehetővé, ez a fűtőtest maximális kényelmet nyújt. A gyerekzár, az ablaknyitás-érzékelés és a túlmelegedés elleni védelem gondoskodik a biztonságról. Mérete 87 x 61,8 x 18,7 cm, a készülék tömege téglákkal együtt 128 kg.
&lt;span style=”color:red;”&gt;&lt;strong&gt;A készülékhez nem tartoznak hőtároló téglák, azokat külön szükséges megvásárolni!&lt;/strong&gt;&lt;/span&gt;
Válassza a Home BIN8210 hőtárolós smart fűtőtestet az okos és energiatakarékos fűtésért otthonában!</t>
        </is>
      </c>
    </row>
    <row r="2173">
      <c r="A2173" s="3" t="inlineStr">
        <is>
          <t>FKA 100</t>
        </is>
      </c>
      <c r="B2173" s="2" t="inlineStr">
        <is>
          <t>Home FKA 100 fali fűtőtest 840/1000W, heti program, fagyőr funkció, fehér</t>
        </is>
      </c>
      <c r="C2173" s="1" t="n">
        <v>50190.0</v>
      </c>
      <c r="D2173" s="7" t="n">
        <f>HYPERLINK("https://www.somogyi.hu/product/home-fka-100-fali-futotest-840-1000w-heti-program-fagyor-funkcio-feher-fka-100-17754","https://www.somogyi.hu/product/home-fka-100-fali-futotest-840-1000w-heti-program-fagyor-funkcio-feher-fka-100-17754")</f>
        <v>0.0</v>
      </c>
      <c r="E2173" s="7" t="n">
        <f>HYPERLINK("https://www.somogyi.hu/data/img/product_main_images/small/17754.jpg","https://www.somogyi.hu/data/img/product_main_images/small/17754.jpg")</f>
        <v>0.0</v>
      </c>
      <c r="F2173" s="2" t="inlineStr">
        <is>
          <t>5999084957766</t>
        </is>
      </c>
      <c r="G2173" s="4" t="inlineStr">
        <is>
          <t>Hogyan biztosíthat otthonában egyenletes és gazdaságos fűtést egyszerűen? A Home FKA 100 fali fűtőtest ideális választás, amely nemcsak hatékony, hanem stílusos is.
Ez a fali fűtőtest 1000 W névleges teljesítménnyel rendelkezik, 840-1000 W tartományban működve. Az alumínium fűtőelem biztosítja a gyors és hatékony hőleadást, miközben csendes és gazdaságos működést garantál. A lineáris felmelegedés és az egyenletes hőelosztás révén minden helyiségben optimális hőmérsékletet teremt.
A Home FKA 100 minimalista megjelenésével bármilyen lakótérbe tökéletesen illeszkedik. Falra szerelhető kivitele lehetővé teszi a helytakarékos elhelyezést. A heti programozás segítségével könnyedén beállíthatja a kívánt hőmérsékletet a hét minden napjára. 
A komfort és economy mód további energiamegtakarítást tesz lehetővé, míg a fagyőr funkció megvédi a készüléket a fagykároktól.
Az ablaknyitás-érzékelés funkció automatikusan kikapcsolja a fűtőtestet, amikor friss levegőt enged be a helyiségbe, így elkerülve a felesleges energiafogyasztást. Kompakt mérete (54x44x9,45 cm) révén könnyedén elhelyezhető, bárhová is szükséges.
Ne várjon a hideg beköszöntéig! Szerezze be most a Home FKA 100 fali fűtőtestet, és élvezze az egyenletes, gazdaságos fűtést egész télen! Vásárolja meg most, hogy otthona mindig meleg és kényelmes legyen!</t>
        </is>
      </c>
    </row>
    <row r="2174">
      <c r="A2174" s="3" t="inlineStr">
        <is>
          <t>E222115</t>
        </is>
      </c>
      <c r="B2174" s="2" t="inlineStr">
        <is>
          <t>Noirot E222115 Amaroc H 1500 BL kerámia fűtőtest, 1500 W, IP24 védettség, nyitott ablak érzékelő, gyermekzár, fali kivitel</t>
        </is>
      </c>
      <c r="C2174" s="1" t="n">
        <v>149990.0</v>
      </c>
      <c r="D2174" s="7" t="n">
        <f>HYPERLINK("https://www.somogyi.hu/product/noirot-e222115-amaroc-h-1500-bl-keramia-futotest-1500-w-ip24-vedettseg-nyitott-ablak-erzekelo-gyermekzar-fali-kivitel-e222115-18961","https://www.somogyi.hu/product/noirot-e222115-amaroc-h-1500-bl-keramia-futotest-1500-w-ip24-vedettseg-nyitott-ablak-erzekelo-gyermekzar-fali-kivitel-e222115-18961")</f>
        <v>0.0</v>
      </c>
      <c r="E2174" s="7" t="n">
        <f>HYPERLINK("https://www.somogyi.hu/data/img/product_main_images/small/18961.jpg","https://www.somogyi.hu/data/img/product_main_images/small/18961.jpg")</f>
        <v>0.0</v>
      </c>
      <c r="F2174" s="2" t="inlineStr">
        <is>
          <t>3465700056264</t>
        </is>
      </c>
      <c r="G2174" s="4" t="inlineStr">
        <is>
          <t>Szeretne energiatakarékos, mégis hosszan tartó meleget otthonában? A Noirot E222115 Amaroc H 1500 BL kerámia fűtőtest ideális választás, ha hatékony és költségtakarékos fűtési megoldást keres. 
Ez az 1500 W teljesítményű készülék természetes kőből készült, kerámia tömbbe öntött fűtőelemmel rendelkezik, amely kíméletes és hosszan tartó meleget biztosít. A fali kivitelű hősugárzó stílusos megjelenésével könnyedén illeszkedik bármely belső térbe, miközben a legmodernebb technológiát kínálja. Elülső nyílása biztosítja az optimális hőeloszlást, így kényelmet és eleganciát nyújt a helyiségben.
Innovatív technológia a hatékony és kényelmes fűtésért
A Noirot Amaroc H fűtőtest IP24 védettséggel rendelkezik, így biztonságosan használható nedves helyiségekben is, például fürdőszobákban. A nyitott ablak érzékelő automatikusan csökkenti a teljesítményt, ha huzatot érzékel, így elkerülheti az energiafelesleget. A készülék három előre beállított és három testre szabható fűtési programot kínál, hogy igényeihez igazíthassa a fűtést. A beépített termosztát LCD kijelzője 0,1 tized fokos pontossággal szabályozza a hőmérsékletet, garantálva az optimális komfortot.
Maximális biztonság és praktikus funkciók
A gyermekzár és a PIN-kódos lezárás extra védelmet nyújt, hogy a beállításokat csak jogosult személyek módosíthassák. A fűtőtest 6 órás memóriával rendelkezik áramszünet esetére, így a beállítások az áramellátás visszatérése után is megmaradnak. A letisztult, fehér színű dizájn modern és elegáns megjelenést biztosít, így bármilyen lakó- vagy üzlethelyiségben megállja a helyét.
Válassza a Noirot E222115 Amaroc H 1500 BL kerámia fűtőtestet, és élvezze a hosszan tartó meleget, amely a letisztult francia formatervezés és az európai minőség jegyében készült!</t>
        </is>
      </c>
    </row>
    <row r="2175">
      <c r="A2175" s="3" t="inlineStr">
        <is>
          <t>FK 350 WIFI</t>
        </is>
      </c>
      <c r="B2175" s="2" t="inlineStr">
        <is>
          <t>Home FK 350 WIFI szabadon álló SMART konvektor fűtőtest, 1000W/1300W/2300W, távirányító, fagyőr funkció, fehér</t>
        </is>
      </c>
      <c r="C2175" s="1" t="n">
        <v>36190.0</v>
      </c>
      <c r="D2175" s="7" t="n">
        <f>HYPERLINK("https://www.somogyi.hu/product/home-fk-350-wifi-szabadon-allo-smart-konvektor-futotest-1000w-1300w-2300w-taviranyito-fagyor-funkcio-feher-fk-350-wifi-16932","https://www.somogyi.hu/product/home-fk-350-wifi-szabadon-allo-smart-konvektor-futotest-1000w-1300w-2300w-taviranyito-fagyor-funkcio-feher-fk-350-wifi-16932")</f>
        <v>0.0</v>
      </c>
      <c r="E2175" s="7" t="n">
        <f>HYPERLINK("https://www.somogyi.hu/data/img/product_main_images/small/16932.jpg","https://www.somogyi.hu/data/img/product_main_images/small/16932.jpg")</f>
        <v>0.0</v>
      </c>
      <c r="F2175" s="2" t="inlineStr">
        <is>
          <t>5999084949648</t>
        </is>
      </c>
      <c r="G2175" s="4" t="inlineStr">
        <is>
          <t>Szeretne egy intelligens fűtőtestet, amelyet bárhonnan vezérelhet okostelefonjával, és biztosítja otthona melegét a hideg napokon? A Home FK 350 WIFI szabadon álló SMART konvektor fűtőtest ideális választás azok számára, akik a legmodernebb technológiát keresik otthonuk fűtésére. 
Ez a fehér színű készülék három fűtési fokozattal rendelkezik: 1000 W, 1300 W és 2300 W, így az igényeinek megfelelően szabályozhatja a hőmérsékletet. Az érintőgombokkal, távirányítóval és ingyenes okostelefonos alkalmazással egyszerűen vezérelheti a készüléket, akár távolról is. Az elektronikus termosztát segítségével pontosan beállíthatja a kívánt hőmérsékletet, miközben a fagyőr funkció biztosítja, hogy a helyiség soha ne hűljön le túlzottan. A külön kapcsolható turbóventilátor funkció gyorsabb hőelosztást biztosít, így még hatékonyabbá téve a fűtést. A 24 órás kikapcsolásidőzítés lehetővé teszi, hogy előre beállítsa a fűtési időpontokat, növelve ezzel a kényelmet és az energiahatékonyságot.
A Home FK 350 WIFI konvektor fűtőtest szabadon álló kivitelének köszönhetően bárhol elhelyezhető a lakásban. Az automatikus kikapcsolás túlmelegedés esetén garantálja a biztonságos használatot. A készülék méretei: 68 x 41,5 x 18 cm, ami kompakt és helytakarékos megoldást nyújt. A távirányító tápellátása egy 3 V-os CR2032 gombelemmel történik, amely tartozékként megtalálható a csomagban. Az ingyenes okostelefonos alkalmazás segítségével bármikor és bárhonnan szabályozhatja a fűtést, biztosítva a maximális kényelmet.
Ne várjon tovább, tegye otthonát még kényelmesebbé és okosabbá a Home FK 350 WIFI szabadon álló SMART konvektor fűtőtesttel – rendelje meg most, és élvezze a modern technológia nyújtotta kényelmet minden nap!</t>
        </is>
      </c>
    </row>
    <row r="2176">
      <c r="A2176" s="3" t="inlineStr">
        <is>
          <t>FKIR 962</t>
        </is>
      </c>
      <c r="B2176" s="2" t="inlineStr">
        <is>
          <t>Home FKIR 962 falra vagy plafonra szerelhető infra elektromos hibrid fűtőtest, 960W, heti program, távirányító, fehér</t>
        </is>
      </c>
      <c r="C2176" s="1" t="n">
        <v>106990.0</v>
      </c>
      <c r="D2176" s="7" t="n">
        <f>HYPERLINK("https://www.somogyi.hu/product/home-fkir-962-falra-vagy-plafonra-szerelheto-infra-elektromos-hibrid-futotest-960w-heti-program-taviranyito-feher-fkir-962-17764","https://www.somogyi.hu/product/home-fkir-962-falra-vagy-plafonra-szerelheto-infra-elektromos-hibrid-futotest-960w-heti-program-taviranyito-feher-fkir-962-17764")</f>
        <v>0.0</v>
      </c>
      <c r="E2176" s="7" t="n">
        <f>HYPERLINK("https://www.somogyi.hu/data/img/product_main_images/small/17764.jpg","https://www.somogyi.hu/data/img/product_main_images/small/17764.jpg")</f>
        <v>0.0</v>
      </c>
      <c r="F2176" s="2" t="inlineStr">
        <is>
          <t>5999084957865</t>
        </is>
      </c>
      <c r="G2176" s="4" t="inlineStr">
        <is>
          <t>Szeretné otthonát gyorsan és hatékonyan felmelegíteni, miközben energiatakarékos megoldást választ? A Home FKIR 962 infra elektromos hibrid fűtőtest a tökéletes választás, amely modern és stílusos fűtési megoldást kínál.
Ez a 960 W teljesítményű fűtőtest falra vagy plafonra szerelhető kivitelben érhető el, így bármelyik helyiségben könnyedén elhelyezhető. Az infrapanelek előnyeit ötvözi a klasszikus fűtési módoknál megszokott hőérzettel, így biztosítva a kellemes és egyenletes meleget. A készülék távirányítóval szabályozható, amelybe vezeték nélküli termosztát is be van építve, így mindig kényelmesen és pontosan állíthatja be a kívánt hőmérsékletet.
A Home FKIR 962 hordozható elektronikus termosztát szabályozással rendelkezik, ami további rugalmasságot nyújt a használat során. A heti programozás lehetősége lehetővé teszi, hogy előre beállítsa a fűtési ciklusokat, így biztosítva a maximális kényelmet és energiamegtakarítást. Az automatikus kikapcsolás funkció túlmelegedés esetén garantálja a biztonságot, megvédve otthonát és szeretteit. A készülék tömege mindössze 6,6 kg, így könnyedén felszerelhető és áthelyezhető. Kompakt mérete (119,5x80,5x4 cm) révén diszkréten illeszkedik bármely helyiségbe, miközben hatékonyan fűti azt.
Ne maradjon le erről az innovatív fűtési megoldásról! Szerezze be most a Home FKIR 962 infra elektromos hibrid fűtőtestet, és élvezze a gyors, hatékony és energiatakarékos fűtést otthonában!</t>
        </is>
      </c>
    </row>
    <row r="2177">
      <c r="A2177" s="6" t="inlineStr">
        <is>
          <t xml:space="preserve">   Fűtés, Párátlanítás, Párásítás / Olajradiátor</t>
        </is>
      </c>
      <c r="B2177" s="6" t="inlineStr">
        <is>
          <t/>
        </is>
      </c>
      <c r="C2177" s="6" t="inlineStr">
        <is>
          <t/>
        </is>
      </c>
      <c r="D2177" s="6" t="inlineStr">
        <is>
          <t/>
        </is>
      </c>
      <c r="E2177" s="6" t="inlineStr">
        <is>
          <t/>
        </is>
      </c>
      <c r="F2177" s="6" t="inlineStr">
        <is>
          <t/>
        </is>
      </c>
      <c r="G2177" s="6" t="inlineStr">
        <is>
          <t/>
        </is>
      </c>
    </row>
    <row r="2178">
      <c r="A2178" s="3" t="inlineStr">
        <is>
          <t>FKOS 13 M</t>
        </is>
      </c>
      <c r="B2178" s="2" t="inlineStr">
        <is>
          <t>Home FKOS 13 M elektromos olajradiátor, 1000W/1500W/2500W, 13 tagú, fehér</t>
        </is>
      </c>
      <c r="C2178" s="1" t="n">
        <v>34290.0</v>
      </c>
      <c r="D2178" s="7" t="n">
        <f>HYPERLINK("https://www.somogyi.hu/product/home-fkos-13-m-elektromos-olajradiator-1000w-1500w-2500w-13-tagu-feher-fkos-13-m-16431","https://www.somogyi.hu/product/home-fkos-13-m-elektromos-olajradiator-1000w-1500w-2500w-13-tagu-feher-fkos-13-m-16431")</f>
        <v>0.0</v>
      </c>
      <c r="E2178" s="7" t="n">
        <f>HYPERLINK("https://www.somogyi.hu/data/img/product_main_images/small/16431.jpg","https://www.somogyi.hu/data/img/product_main_images/small/16431.jpg")</f>
        <v>0.0</v>
      </c>
      <c r="F2178" s="2" t="inlineStr">
        <is>
          <t>5999084944636</t>
        </is>
      </c>
      <c r="G2178" s="4" t="inlineStr">
        <is>
          <t>Hogyan biztosíthatja otthonában a gyors és hatékony fűtést a hideg téli napokon? A Home FKOS 13 M elektromos olajradiátor a megoldás, amely garantálja a kellemes meleget minden helyiségben.
Ez a 13 tagú olajradiátor három fűtési fokozattal rendelkezik (1000W, 1500W, 2500W), így könnyedén beállíthatja a kívánt hőmérsékletet, legyen szó enyhe őszi hűvösről vagy kemény téli hidegről. A mechanikus termosztát precíz szabályozást tesz lehetővé, biztosítva az optimális hőmérsékletet minden helyzetben. A Home FKOS 13 M olajradiátor automatikus kikapcsolás funkcióval van ellátva, amely túlmelegedés vagy felbillenés esetén azonnal leállítja a készüléket, így garantálva a maximális biztonságot. 
Minden egyes radiátort darabonkénti nyomáspróbának vetettek alá, így biztos lehet benne, hogy a készülék megbízható és tartós. A kompakt méretek (12(23)x60x58 cm) révén könnyedén elhelyezhető bárhol a lakásban, anélkül, hogy sok helyet foglalna. A fehér szín és az elegáns design minden enteriőrbe illeszkedik, miközben hatékonyan és csendesen működik.
Ne várjon a hideg beköszöntéig! Szerezze be most a Home FKOS 13 M elektromos olajradiátort, és élvezze a meleg és kényelmes otthon hangulatát egész télen!</t>
        </is>
      </c>
    </row>
    <row r="2179">
      <c r="A2179" s="3" t="inlineStr">
        <is>
          <t>FKOS 7 M</t>
        </is>
      </c>
      <c r="B2179" s="2" t="inlineStr">
        <is>
          <t>Home FKOS 7 M elektromos olajradiátor, 600W/900W/1500W, 7 tagú, fehér</t>
        </is>
      </c>
      <c r="C2179" s="1" t="n">
        <v>22890.0</v>
      </c>
      <c r="D2179" s="7" t="n">
        <f>HYPERLINK("https://www.somogyi.hu/product/home-fkos-7-m-elektromos-olajradiator-600w-900w-1500w-7-tagu-feher-fkos-7-m-16428","https://www.somogyi.hu/product/home-fkos-7-m-elektromos-olajradiator-600w-900w-1500w-7-tagu-feher-fkos-7-m-16428")</f>
        <v>0.0</v>
      </c>
      <c r="E2179" s="7" t="n">
        <f>HYPERLINK("https://www.somogyi.hu/data/img/product_main_images/small/16428.jpg","https://www.somogyi.hu/data/img/product_main_images/small/16428.jpg")</f>
        <v>0.0</v>
      </c>
      <c r="F2179" s="2" t="inlineStr">
        <is>
          <t>5999084944605</t>
        </is>
      </c>
      <c r="G2179" s="4" t="inlineStr">
        <is>
          <t>Hogyan biztosíthatja otthonában a gyors és hatékony fűtést a hideg téli napokon? A Home FKOS 7 M elektromos olajradiátor a megoldás, amely garantálja a kellemes meleget minden helyiségben.
Ez a 7 tagú olajradiátor három fűtési fokozattal rendelkezik (600W, 900W, 1500W), így könnyedén beállíthatja a kívánt hőmérsékletet, legyen szó enyhe őszi hűvösről vagy kemény téli hidegről. A mechanikus termosztát precíz szabályozást tesz lehetővé, biztosítva az optimális hőmérsékletet minden helyzetben. A Home FKOS 7 M olajradiátor automatikus kikapcsolás funkcióval van ellátva, amely túlmelegedés vagy felbillenés esetén azonnal leállítja a készüléket, így garantálva a maximális biztonságot. 
Minden egyes radiátort darabonkénti nyomáspróbának vetettek alá, így biztos lehet benne, hogy a készülék megbízható és tartós. A kompakt méretek (12(23)x60x37 cm) révén könnyedén elhelyezhető bárhol a lakásban, anélkül, hogy sok helyet foglalna. A fehér szín és az elegáns design minden enteriőrbe illeszkedik, miközben hatékonyan és csendesen működik.
Ne várjon a hideg beköszöntéig! Szerezze be most a Home FKOS 7 M elektromos olajradiátort, és élvezze a meleg és kényelmes otthon hangulatát egész télen!</t>
        </is>
      </c>
    </row>
    <row r="2180">
      <c r="A2180" s="3" t="inlineStr">
        <is>
          <t>FKOS 11 M</t>
        </is>
      </c>
      <c r="B2180" s="2" t="inlineStr">
        <is>
          <t>Home FKOS 11 M elektromos olajradiátor, 800W/1200W/2000W, 11 tagú, fehér</t>
        </is>
      </c>
      <c r="C2180" s="1" t="n">
        <v>30490.0</v>
      </c>
      <c r="D2180" s="7" t="n">
        <f>HYPERLINK("https://www.somogyi.hu/product/home-fkos-11-m-elektromos-olajradiator-800w-1200w-2000w-11-tagu-feher-fkos-11-m-16430","https://www.somogyi.hu/product/home-fkos-11-m-elektromos-olajradiator-800w-1200w-2000w-11-tagu-feher-fkos-11-m-16430")</f>
        <v>0.0</v>
      </c>
      <c r="E2180" s="7" t="n">
        <f>HYPERLINK("https://www.somogyi.hu/data/img/product_main_images/small/16430.jpg","https://www.somogyi.hu/data/img/product_main_images/small/16430.jpg")</f>
        <v>0.0</v>
      </c>
      <c r="F2180" s="2" t="inlineStr">
        <is>
          <t>5999084944629</t>
        </is>
      </c>
      <c r="G2180" s="4" t="inlineStr">
        <is>
          <t>Hogyan biztosíthatja otthonában a gyors és hatékony fűtést a hideg téli napokon? A Home FKOS 11 M elektromos olajradiátor a megoldás, amely garantálja a kellemes meleget minden helyiségben.
Ez a 11 tagú olajradiátor három fűtési fokozattal rendelkezik (800W, 1200W, 2000W), így könnyedén beállíthatja a kívánt hőmérsékletet, legyen szó enyhe őszi hűvösről vagy kemény téli hidegről. A mechanikus termosztát precíz szabályozást tesz lehetővé, biztosítva az optimális hőmérsékletet minden helyzetben. A Home FKOS 11 M olajradiátor automatikus kikapcsolás funkcióval van ellátva, amely túlmelegedés vagy felbillenés esetén azonnal leállítja a készüléket, így garantálva a maximális biztonságot. 
Minden egyes radiátort darabonkénti nyomáspróbának vetettek alá, így biztos lehet benne, hogy a készülék megbízható és tartós. A kompakt méretek (12(23)x60x51 cm) révén könnyedén elhelyezhető bárhol a lakásban, anélkül, hogy sok helyet foglalna. A fehér szín és az elegáns design minden enteriőrbe illeszkedik, miközben hatékonyan és csendesen működik.
Ne várjon a hideg beköszöntéig! Szerezze be most a Home FKOS 11 M elektromos olajradiátort, és élvezze a meleg és kényelmes otthon hangulatát egész télen!</t>
        </is>
      </c>
    </row>
    <row r="2181">
      <c r="A2181" s="3" t="inlineStr">
        <is>
          <t>FKOS 9 M</t>
        </is>
      </c>
      <c r="B2181" s="2" t="inlineStr">
        <is>
          <t>Home FKOS 9 M elektromos olajradiátor, 800W/1200W/2000W, 9 tagú, fehér</t>
        </is>
      </c>
      <c r="C2181" s="1" t="n">
        <v>26690.0</v>
      </c>
      <c r="D2181" s="7" t="n">
        <f>HYPERLINK("https://www.somogyi.hu/product/home-fkos-9-m-elektromos-olajradiator-800w-1200w-2000w-9-tagu-feher-fkos-9-m-16429","https://www.somogyi.hu/product/home-fkos-9-m-elektromos-olajradiator-800w-1200w-2000w-9-tagu-feher-fkos-9-m-16429")</f>
        <v>0.0</v>
      </c>
      <c r="E2181" s="7" t="n">
        <f>HYPERLINK("https://www.somogyi.hu/data/img/product_main_images/small/16429.jpg","https://www.somogyi.hu/data/img/product_main_images/small/16429.jpg")</f>
        <v>0.0</v>
      </c>
      <c r="F2181" s="2" t="inlineStr">
        <is>
          <t>5999084944612</t>
        </is>
      </c>
      <c r="G2181" s="4" t="inlineStr">
        <is>
          <t>Hogyan biztosíthatja otthonában a gyors és hatékony fűtést a hideg téli napokon? A Home FKOS 9 M elektromos olajradiátor a megoldás, amely garantálja a kellemes meleget minden helyiségben.
Ez a 9 tagú olajradiátor három fűtési fokozattal rendelkezik (800W, 1200W, 2000W), így könnyedén beállíthatja a kívánt hőmérsékletet, legyen szó enyhe őszi hűvösről vagy kemény téli hidegről. A mechanikus termosztát precíz szabályozást tesz lehetővé, biztosítva az optimális hőmérsékletet minden helyzetben. A Home FKOS 9 M olajradiátor automatikus kikapcsolás funkcióval van ellátva, amely túlmelegedés vagy felbillenés esetén azonnal leállítja a készüléket, így garantálva a maximális biztonságot. 
Minden egyes radiátort darabonkénti nyomáspróbának vetettek alá, így biztos lehet benne, hogy a készülék megbízható és tartós. A kompakt méretek (12(23)x60x44 cm) révén könnyedén elhelyezhető bárhol a lakásban, anélkül, hogy sok helyet foglalna. A fehér szín és az elegáns design minden enteriőrbe illeszkedik, miközben hatékonyan és csendesen működik.
Ne várjon a hideg beköszöntéig! Szerezze be most a Home FKOS 9 M elektromos olajradiátort, és élvezze a meleg és kényelmes otthon hangulatát egész télen!</t>
        </is>
      </c>
    </row>
    <row r="2182">
      <c r="A2182" s="6" t="inlineStr">
        <is>
          <t xml:space="preserve">   Fűtés, Párátlanítás, Párásítás / Ventilátoros fűtőtest</t>
        </is>
      </c>
      <c r="B2182" s="6" t="inlineStr">
        <is>
          <t/>
        </is>
      </c>
      <c r="C2182" s="6" t="inlineStr">
        <is>
          <t/>
        </is>
      </c>
      <c r="D2182" s="6" t="inlineStr">
        <is>
          <t/>
        </is>
      </c>
      <c r="E2182" s="6" t="inlineStr">
        <is>
          <t/>
        </is>
      </c>
      <c r="F2182" s="6" t="inlineStr">
        <is>
          <t/>
        </is>
      </c>
      <c r="G2182" s="6" t="inlineStr">
        <is>
          <t/>
        </is>
      </c>
    </row>
    <row r="2183">
      <c r="A2183" s="3" t="inlineStr">
        <is>
          <t>FKI 90</t>
        </is>
      </c>
      <c r="B2183" s="2" t="inlineStr">
        <is>
          <t>Home FKI 90 hordozható ventilátoros ipari fűtőtest, 4500W/9000W, IPX4 védelem</t>
        </is>
      </c>
      <c r="C2183" s="1" t="n">
        <v>77990.0</v>
      </c>
      <c r="D2183" s="7" t="n">
        <f>HYPERLINK("https://www.somogyi.hu/product/home-fki-90-hordozhato-ventilatoros-ipari-futotest-4500w-9000w-ipx4-vedelem-fki-90-16453","https://www.somogyi.hu/product/home-fki-90-hordozhato-ventilatoros-ipari-futotest-4500w-9000w-ipx4-vedelem-fki-90-16453")</f>
        <v>0.0</v>
      </c>
      <c r="E2183" s="7" t="n">
        <f>HYPERLINK("https://www.somogyi.hu/data/img/product_main_images/small/16453.jpg","https://www.somogyi.hu/data/img/product_main_images/small/16453.jpg")</f>
        <v>0.0</v>
      </c>
      <c r="F2183" s="2" t="inlineStr">
        <is>
          <t>5999084944858</t>
        </is>
      </c>
      <c r="G2183" s="4" t="inlineStr">
        <is>
          <t>Hogyan biztosíthat hatékony és gyors fűtést nagyobb ipari helyiségekben is? A Home FKI 90 hordozható ventilátoros ipari fűtőtest a megoldás, amely garantálja a szükséges meleget még a legnagyobb térben is.
Ez a nagy teljesítményű ipari fűtőtest két fűtési fokozattal rendelkezik: 4500 W és 9000 W, így mindig az aktuális hőigényhez igazíthatja a működését. A mechanikus termosztát segítségével pontosan szabályozhatja a hőmérsékletet, biztosítva a kívánt komfortérzetet. Az IPX4 védelem biztosítja, hogy a készülék ellenálljon a fröccsenő víznek, így nedves környezetben is biztonságosan használható.
A Home FKI 90 automatikus kikapcsolási funkcióval van ellátva, amely túlmelegedés esetén azonnal leállítja a készüléket, megóvva ezzel a biztonságot és a készülék élettartamát. A fűtőtest tápellátása 400 V~ / 50 Hz, amely ipari környezetben könnyen elérhető. Kompakt méretei (35 x 51 x 37 cm) révén könnyedén hordozható és elhelyezhető, bárhol is szükséges a használata.
Fontos megjegyezni, hogy a hálózati csatlakozóvezeték nem tartozék, így azt külön kell beszereznie a használathoz.
Ne engedje, hogy a hideg idő megzavarja a munkavégzést! Szerezze be most a Home FKI 90 hordozható ventilátoros ipari fűtőtestet, és biztosítsa a hatékony és gyors fűtést nagyobb ipari területeken is!</t>
        </is>
      </c>
    </row>
    <row r="2184">
      <c r="A2184" s="3" t="inlineStr">
        <is>
          <t>ST-033-240-E</t>
        </is>
      </c>
      <c r="B2184" s="2" t="inlineStr">
        <is>
          <t>Stanley ST-033-240-E hordozható elektromos ventilátoros ipari fűtőtest, 1650W/3300W, IPX4 védelem</t>
        </is>
      </c>
      <c r="C2184" s="1" t="n">
        <v>41990.0</v>
      </c>
      <c r="D2184" s="7" t="n">
        <f>HYPERLINK("https://www.somogyi.hu/product/stanley-st-033-240-e-hordozhato-elektromos-ventilatoros-ipari-futotest-1650w-3300w-ipx4-vedelem-st-033-240-e-17044","https://www.somogyi.hu/product/stanley-st-033-240-e-hordozhato-elektromos-ventilatoros-ipari-futotest-1650w-3300w-ipx4-vedelem-st-033-240-e-17044")</f>
        <v>0.0</v>
      </c>
      <c r="E2184" s="7" t="n">
        <f>HYPERLINK("https://www.somogyi.hu/data/img/product_main_images/small/17044.jpg","https://www.somogyi.hu/data/img/product_main_images/small/17044.jpg")</f>
        <v>0.0</v>
      </c>
      <c r="F2184" s="2" t="inlineStr">
        <is>
          <t>0657888140337</t>
        </is>
      </c>
      <c r="G2184" s="4" t="inlineStr">
        <is>
          <t>Hogyan biztosíthatja a gyors és hatékony fűtést nagyobb ipari helyiségekben? A Stanley ST-033-240-E hordozható ventilátoros ipari fűtőtest a megoldás, amely garantálja a szükséges meleget a legnagyobb terekben is.
Ez az ipari fűtőtest két fűtési fokozattal rendelkezik: 1650 W és 3300 W, így az aktuális hőigényhez igazíthatja a működését. A csak ventilátor-üzemmód lehetőséget biztosít arra, hogy a készüléket légkeringetésre is használja, anélkül, hogy fűtene. A mechanikus termosztát segítségével pontosan szabályozhatja a hőmérsékletet, biztosítva a kívánt komfortérzetet.
Az IPX4 védelem garantálja, hogy a készülék ellenálljon a fröccsenő víznek, így nedves környezetben is biztonságosan használható. Az automatikus kikapcsolási funkció túlmelegedés esetén biztosítja a készülék és a felhasználók védelmét. A fűtőtest masszív fém háza hosszú távú megbízhatóságot és tartósságot garantál.
A Stanley ST-033-240-E fűtőtest tápellátása 230V~ / 50Hz, így szabványos hálózati aljzathoz csatlakoztatható. Kompakt méretei (35 x 37,5 x 45,5 cm) révén könnyedén hordozható és elhelyezhető bárhol, ahol szükség van rá.
Ne hagyja, hogy a hideg idő megzavarja a munkavégzést! Szerezze be most a Stanley ST-033-240-E hordozható ventilátoros ipari fűtőtestet, és biztosítsa a hatékony és gyors fűtést nagyobb ipari területeken is!</t>
        </is>
      </c>
    </row>
    <row r="2185">
      <c r="A2185" s="3" t="inlineStr">
        <is>
          <t>FK 1</t>
        </is>
      </c>
      <c r="B2185" s="2" t="inlineStr">
        <is>
          <t>Home FK 1 hordozható elektromos ventilátoros fűtőtest, 1000W/2000W, fehér</t>
        </is>
      </c>
      <c r="C2185" s="1" t="n">
        <v>7190.0</v>
      </c>
      <c r="D2185" s="7" t="n">
        <f>HYPERLINK("https://www.somogyi.hu/product/home-fk-1-hordozhato-elektromos-ventilatoros-futotest-1000w-2000w-feher-fk-1-6431","https://www.somogyi.hu/product/home-fk-1-hordozhato-elektromos-ventilatoros-futotest-1000w-2000w-feher-fk-1-6431")</f>
        <v>0.0</v>
      </c>
      <c r="E2185" s="7" t="n">
        <f>HYPERLINK("https://www.somogyi.hu/data/img/product_main_images/small/06431.jpg","https://www.somogyi.hu/data/img/product_main_images/small/06431.jpg")</f>
        <v>0.0</v>
      </c>
      <c r="F2185" s="2" t="inlineStr">
        <is>
          <t>5998312754771</t>
        </is>
      </c>
      <c r="G2185" s="4" t="inlineStr">
        <is>
          <t>Keresi az ideális megoldást, hogy gyorsan és hatékonyan fűtse fel otthonának kisebb helyiségeit? A Home FK 1 hordozható elektromos ventilátoros fűtőtest a tökéletes választás, ha gyors és hatékony fűtésre vágyik. 
Az elegáns, fehér színű készülék két fűtési fokozattal rendelkezik, 1000 W és 2000 W teljesítménnyel, így könnyedén beállíthatja az igényeinek megfelelő hőmérsékletet.
Az FK 1-et elláttuk csak ventilátor üzemmóddal is, amelyet a melegebb hónapokban is hasznosíthat. Az állítható termosztát lehetővé teszi a pontos hőmérsékletszabályozást, így biztosítva a kényelmet. Ideális 30 m²-es helyiségek fűtésére, így praktikus és sokoldalú megoldást nyújt minden otthonba.
A Home FK 1 fűtőtest IP20 védettségi fokozattal rendelkezik, ami azt jelenti, hogy fürdőszobába nem telepíthető. A készülék túlmelegedés elleni védelemmel és felbillenés esetén automatikus kikapcsolással is rendelkezik, így használata biztonságos. A fűtőtest működése csendes, mindössze 52 dB(A) zajszinttel rendelkezik, így nem zavarja a mindennapi tevékenységeket.
A készülék 1,5 méter hosszú tápkábellel és 230 V-os tápellátással működik. Kompakt mérete (21 x 26,5 x 11 cm) és könnyű súlya (1,1 kg) lehetővé teszi a könnyű hordozhatóságot és egyszerű tárolást, amikor éppen nincs használatban.
Ne hagyja ki ezt a kiváló lehetőséget, hogy otthonában mindig kellemes meleget teremtsen – rendelje meg a Home FK 1 hordozható elektromos fűtőtestet még ma!</t>
        </is>
      </c>
    </row>
    <row r="2186">
      <c r="A2186" s="3" t="inlineStr">
        <is>
          <t>FKI 50</t>
        </is>
      </c>
      <c r="B2186" s="2" t="inlineStr">
        <is>
          <t>Home FKI 50 hordozható elektromos ventilátoros ipari fűtőtest, 2500W/5000W, IPX4 védelem</t>
        </is>
      </c>
      <c r="C2186" s="1" t="n">
        <v>48690.0</v>
      </c>
      <c r="D2186" s="7" t="n">
        <f>HYPERLINK("https://www.somogyi.hu/product/home-fki-50-hordozhato-elektromos-ventilatoros-ipari-futotest-2500w-5000w-ipx4-vedelem-fki-50-16452","https://www.somogyi.hu/product/home-fki-50-hordozhato-elektromos-ventilatoros-ipari-futotest-2500w-5000w-ipx4-vedelem-fki-50-16452")</f>
        <v>0.0</v>
      </c>
      <c r="E2186" s="7" t="n">
        <f>HYPERLINK("https://www.somogyi.hu/data/img/product_main_images/small/16452.jpg","https://www.somogyi.hu/data/img/product_main_images/small/16452.jpg")</f>
        <v>0.0</v>
      </c>
      <c r="F2186" s="2" t="inlineStr">
        <is>
          <t>5999084944841</t>
        </is>
      </c>
      <c r="G2186" s="4" t="inlineStr">
        <is>
          <t>Hogyan biztosíthatja gyorsan és hatékonyan a szükséges meleget ipari környezetben? A Home FKI 50 hordozható ventilátoros ipari fűtőtest a tökéletes választás, hogy nagyobb helyiségekben is mindig kellemes hőmérsékletet érjen el.
Ez az ipari fűtőtest két fűtési fokozattal rendelkezik: 2500 W és 5000 W, így igényeinek megfelelően szabályozhatja a hőmérsékletet. A mechanikus termosztát precíz hőmérséklet-szabályozást tesz lehetővé, így mindig optimális körülményeket biztosíthat a munkavégzéshez. Az IPX4 védelem biztosítja, hogy a készülék ellenáll a fröccsenő víznek, így nedves környezetben is biztonságosan használható.
A Home FKI 50 automatikus kikapcsolási funkcióval rendelkezik túlmelegedés esetén, amely megóvja a készüléket és biztosítja a felhasználók biztonságát. A fűtőtest tápellátása 400 V~ / 50 Hz, amely ipari környezetben könnyen elérhető. Kompakt méretei (29 x 47 x 33 cm) révén a készülék könnyedén hordozható és elhelyezhető, bárhol is van rá szükség.
Kérjük, vegye figyelembe, hogy a hálózati csatlakozóvezeték nem tartozék, így azt külön kell beszereznie a használathoz.
Ne hagyja, hogy a hideg idő megzavarja a munkát! Szerezze be most a Home FKI 50 hordozható ventilátoros ipari fűtőtestet, és biztosítsa a szükséges meleget gyorsan és hatékonyan!</t>
        </is>
      </c>
    </row>
    <row r="2187">
      <c r="A2187" s="3" t="inlineStr">
        <is>
          <t>FK1OSC</t>
        </is>
      </c>
      <c r="B2187" s="2" t="inlineStr">
        <is>
          <t>Home FK1OSC fűtőtest, ventilátoros, oszcilláló, max. 2000W, túlmelegedés elleni védelem</t>
        </is>
      </c>
      <c r="C2187" s="1" t="n">
        <v>10390.0</v>
      </c>
      <c r="D2187" s="7" t="n">
        <f>HYPERLINK("https://www.somogyi.hu/product/home-fk1osc-futotest-ventilatoros-oszcillalo-max-2000w-tulmelegedes-elleni-vedelem-fk1osc-18476","https://www.somogyi.hu/product/home-fk1osc-futotest-ventilatoros-oszcillalo-max-2000w-tulmelegedes-elleni-vedelem-fk1osc-18476")</f>
        <v>0.0</v>
      </c>
      <c r="E2187" s="7" t="n">
        <f>HYPERLINK("https://www.somogyi.hu/data/img/product_main_images/small/18476.jpg","https://www.somogyi.hu/data/img/product_main_images/small/18476.jpg")</f>
        <v>0.0</v>
      </c>
      <c r="F2187" s="2" t="inlineStr">
        <is>
          <t>5999084964948</t>
        </is>
      </c>
      <c r="G2187" s="4" t="inlineStr">
        <is>
          <t>Egy megbízható és sokoldalú fűtőtestet keres, amely gyorsan és hatékonyan melegíti fel otthonát? A Home FK1OSC ventilátoros fűtőtest ideális megoldás, ha egy kompakt és hatékony fűtési rendszert szeretne. 
Ez a fűtőtest hideg, meleg és forró levegő üzemmóddal rendelkezik, így egész évben használható, szinte minden időjárási körülmény között.
A készülék két fűtési fokozattal rendelkezik: 1000 W és 2000 W, így igényeinek megfelelően választhatja ki a kívánt hőmérsékletet. A mechanikus termosztát segítségével könnyedén szabályozhatja a hőmérsékletet, és biztos lehet benne, hogy otthona mindig kellemesen meleg lesz. A fűtőtest oszcilláló funkcióval is rendelkezik, amely egyenletesen osztja el a meleget a helyiségben.
A túlmelegedés elleni védelem garantálja a biztonságos használatot, így nyugodtan használhatja a készüléket akár hosszabb időn keresztül is. A működést jelző fény segít abban, hogy mindig tisztában legyen a fűtőtest aktuális állapotával. A süllyesztett hordfül megkönnyíti a készülék mozgatását, így bárhová könnyedén elhelyezheti otthonában.
A Home FK1OSC ventilátoros fűtőtest tápellátása 220-240 V, 50-60Hz, ami stabil és megbízható működést biztosít. Kompakt méretei (20,5 x 27,5 x 15,5 cm) révén kis helyen is elfér, így ideális választás kisebb helyiségek fűtésére is.
Ne hagyja, hogy a hideg idő megzavarja kényelmét – válassza a Home FK1OSC ventilátoros fűtőtestet, és élvezze a gyors és hatékony fűtés előnyeit otthonában!</t>
        </is>
      </c>
    </row>
    <row r="2188">
      <c r="A2188" s="3" t="inlineStr">
        <is>
          <t>ST-05-400-E</t>
        </is>
      </c>
      <c r="B2188" s="2" t="inlineStr">
        <is>
          <t>Stanley ST-05-400-E hordozható elektromos ventilátoros ipari fűtőtest, 2500W/5000W, IPX4 védelem</t>
        </is>
      </c>
      <c r="C2188" s="1" t="n">
        <v>61190.0</v>
      </c>
      <c r="D2188" s="7" t="n">
        <f>HYPERLINK("https://www.somogyi.hu/product/stanley-st-05-400-e-hordozhato-elektromos-ventilatoros-ipari-futotest-2500w-5000w-ipx4-vedelem-st-05-400-e-17045","https://www.somogyi.hu/product/stanley-st-05-400-e-hordozhato-elektromos-ventilatoros-ipari-futotest-2500w-5000w-ipx4-vedelem-st-05-400-e-17045")</f>
        <v>0.0</v>
      </c>
      <c r="E2188" s="7" t="n">
        <f>HYPERLINK("https://www.somogyi.hu/data/img/product_main_images/small/17045.jpg","https://www.somogyi.hu/data/img/product_main_images/small/17045.jpg")</f>
        <v>0.0</v>
      </c>
      <c r="F2188" s="2" t="inlineStr">
        <is>
          <t>0657888110057</t>
        </is>
      </c>
      <c r="G2188" s="4" t="inlineStr">
        <is>
          <t>Hogyan biztosíthatja a hatékony és gyors fűtést nagyobb ipari helyiségekben? A Stanley ST-05-400-E hordozható ventilátoros ipari fűtőtest az ideális megoldás, amely garantálja a szükséges meleget bármely munkakörnyezetben.
Ez az ipari fűtőtest két fűtési fokozattal rendelkezik: 2500 W és 5000 W, így könnyedén igazíthatja a hőmérsékletet az aktuális igényekhez. A készülék csak ventilátor üzemmódban is működtethető, így légkeringetésre is használható anélkül, hogy fűtené a levegőt. A mechanikus termosztát segítségével precízen szabályozhatja a hőmérsékletet, biztosítva a kívánt komfortérzetet.
Az IPX4 védelem biztosítja, hogy a készülék ellenálljon a fröccsenő víznek, így nedves környezetben is biztonságosan használható. Az automatikus kikapcsolási funkció túlmelegedés esetén megvédi a készüléket és a felhasználókat a balesetektől. A masszív fém ház hosszú távú megbízhatóságot és tartósságot garantál.
A Stanley ST-05-400-E fűtőtest tápellátása 400 V ~/ 50 Hz, amely megfelel a szabványos ipari követelményeknek. A készülék tartozéka a 1,3 méteres hálózati csatlakozókábel, amely lehetővé teszi a rugalmas elhelyezést. Kompakt méretei (35 x 37,5 x 45,5 cm) révén könnyedén hordozható és elhelyezhető bárhol, ahol szükség van rá.
Ne hagyja, hogy a hideg idő megzavarja a munkavégzést! Szerezze be most a Stanley ST-05-400-E hordozható ventilátoros ipari fűtőtestet, és biztosítsa a hatékony és gyors fűtést ipari helyiségeiben!</t>
        </is>
      </c>
    </row>
    <row r="2189">
      <c r="A2189" s="3" t="inlineStr">
        <is>
          <t>FK 1/O</t>
        </is>
      </c>
      <c r="B2189" s="2" t="inlineStr">
        <is>
          <t>Home FK 1/O hordozható elektromos ventilátoros fűtőtest, 1000W/2000W, oszcillálás, fehér</t>
        </is>
      </c>
      <c r="C2189" s="1" t="n">
        <v>10390.0</v>
      </c>
      <c r="D2189" s="7" t="n">
        <f>HYPERLINK("https://www.somogyi.hu/product/home-fk-1-o-hordozhato-elektromos-ventilatoros-futotest-1000w-2000w-oszcillalas-feher-fk-1-o-9805","https://www.somogyi.hu/product/home-fk-1-o-hordozhato-elektromos-ventilatoros-futotest-1000w-2000w-oszcillalas-feher-fk-1-o-9805")</f>
        <v>0.0</v>
      </c>
      <c r="E2189" s="7" t="n">
        <f>HYPERLINK("https://www.somogyi.hu/data/img/product_main_images/small/09805.jpg","https://www.somogyi.hu/data/img/product_main_images/small/09805.jpg")</f>
        <v>0.0</v>
      </c>
      <c r="F2189" s="2" t="inlineStr">
        <is>
          <t>5998312785317</t>
        </is>
      </c>
      <c r="G2189" s="4" t="inlineStr">
        <is>
          <t>Olyan hordozható fűtőtestet keres, amely gyorsan és hatékonyan biztosítja a meleget otthonában? A Home FK 1/O hordozható elektromos ventilátoros fűtőtest tökéletes választás, ha gyors és hatékony fűtésre van szüksége. 
Ez a fehér színű, elegáns készülék két fűtési fokozattal (1000 W és 2000 W) rendelkezik, lehetővé téve, hogy igényei szerint szabályozza a hőmérsékletet. A termosztát segítségével pontosan beállíthatja a kívánt hőmérsékletet, biztosítva ezzel a maximális komfortot. Nem csak meleg levegőt biztosít, de a csak ventilátor üzemmód révén a nyári hónapokban is használható, hűtést nyújtva. Az oszcilláló funkció biztosítja a meleg levegő egyenletes eloszlását a helyiségben, így mindenhol kellemes hőmérsékletet teremt. 
A készülék ideális választás akár 30 m²-es helyiségek számára is. A Home FK 1/O hordozható fűtőtest IP20 védettségi fokozattal rendelkezik, ami azt jelenti, hogy nem alkalmas fürdőszobai használatra. Az eszköz rendelkezik túlmelegedés elleni védelemmel, de felbillenés esetén nem kapcsol ki, ezért stabil felületen használata javasolt. A működési zajszintje mindössze 52 dB(A), így csendesen működik, nem zavarva a mindennapi tevékenységeket. A fűtőtest tápkábelének hossza 1,45 méter, tápellátása pedig 230 V~ / 50 Hz. Kompakt méretének (22 x 30 x 19 cm) és könnyű súlyának (1,3 kg) köszönhetően könnyen hordozható és tárolható. A készülék kizárólag jól szigetelt helyiségek fűtésére vagy alkalmankénti használatra alkalmas.
Ne habozzon, biztosítsa otthonában a kényelmes meleget még ma a Home FK 1/O hordozható elektromos ventilátoros fűtőtesttel!</t>
        </is>
      </c>
    </row>
    <row r="2190">
      <c r="A2190" s="3" t="inlineStr">
        <is>
          <t>FK 37/GY</t>
        </is>
      </c>
      <c r="B2190" s="2" t="inlineStr">
        <is>
          <t>Home FK 37/GY hordozható elektromos ventilátoros fűtőtest, 1000W/2000W, fehér</t>
        </is>
      </c>
      <c r="C2190" s="1" t="n">
        <v>9590.0</v>
      </c>
      <c r="D2190" s="7" t="n">
        <f>HYPERLINK("https://www.somogyi.hu/product/home-fk-37-gy-hordozhato-elektromos-ventilatoros-futotest-1000w-2000w-feher-fk-37-gy-14902","https://www.somogyi.hu/product/home-fk-37-gy-hordozhato-elektromos-ventilatoros-futotest-1000w-2000w-feher-fk-37-gy-14902")</f>
        <v>0.0</v>
      </c>
      <c r="E2190" s="7" t="n">
        <f>HYPERLINK("https://www.somogyi.hu/data/img/product_main_images/small/14902.jpg","https://www.somogyi.hu/data/img/product_main_images/small/14902.jpg")</f>
        <v>0.0</v>
      </c>
      <c r="F2190" s="2" t="inlineStr">
        <is>
          <t>5999084929398</t>
        </is>
      </c>
      <c r="G2190" s="4" t="inlineStr">
        <is>
          <t>Vajon létezik olyan hordozható fűtőtest, amely gyorsan és biztonságosan képes felmelegíteni otthonát? A Home FK 37/GY hordozható elektromos ventilátoros fűtőtest a tökéletes választás, ha megbízható és hatékony fűtési megoldást keres. 
Az eszköz két fűtési fokozattal rendelkezik, 1000 W és 2000 W teljesítménnyel, így bármilyen helyzetben alkalmazkodni tud az Ön igényeihez. A mechanikus termosztát segítségével pontosan beállíthatja a kívánt hőmérsékletet, biztosítva ezzel a kényelmet. A készülék biztonsági funkciói közé tartozik az automatikus kikapcsolás túlmelegedés vagy felbillenés esetén, amely garantálja, hogy mindig nyugodt lehessen a használata során. Kompakt mérete (26 x 24 x 13 cm) és elegáns fehér színe révén könnyen elhelyezhető bármilyen helyiségben, anélkül hogy sok helyet foglalna.
A Home FK 37/GY ventilátoros fűtőtest ideális választás kisebb helyiségek fűtésére, és könnyű súlyának köszönhetően könnyedén hordozható egyik szobából a másikba. A hatékony ventilátoros technológia révén gyorsan felmelegíti a levegőt, így azonnal érezhető a kellemes meleg.
Ne hagyja ki ezt a lehetőséget, hogy otthonában mindig kellemes meleget teremtsen – rendelje meg a Home FK 37/GY hordozható elektromos ventilátoros fűtőtestet még ma!</t>
        </is>
      </c>
    </row>
    <row r="2191">
      <c r="A2191" s="6" t="inlineStr">
        <is>
          <t xml:space="preserve">   Fűtés, Párátlanítás, Párásítás / Hamuporszívó</t>
        </is>
      </c>
      <c r="B2191" s="6" t="inlineStr">
        <is>
          <t/>
        </is>
      </c>
      <c r="C2191" s="6" t="inlineStr">
        <is>
          <t/>
        </is>
      </c>
      <c r="D2191" s="6" t="inlineStr">
        <is>
          <t/>
        </is>
      </c>
      <c r="E2191" s="6" t="inlineStr">
        <is>
          <t/>
        </is>
      </c>
      <c r="F2191" s="6" t="inlineStr">
        <is>
          <t/>
        </is>
      </c>
      <c r="G2191" s="6" t="inlineStr">
        <is>
          <t/>
        </is>
      </c>
    </row>
    <row r="2192">
      <c r="A2192" s="3" t="inlineStr">
        <is>
          <t>FHP 820/G</t>
        </is>
      </c>
      <c r="B2192" s="2" t="inlineStr">
        <is>
          <t>Home FHP 820/G fém gégecső FHP 820 hamuporszívóhoz</t>
        </is>
      </c>
      <c r="C2192" s="1" t="n">
        <v>1990.0</v>
      </c>
      <c r="D2192" s="7" t="n">
        <f>HYPERLINK("https://www.somogyi.hu/product/home-fhp-820-g-fem-gegecso-fhp-820-hamuporszivohoz-fhp-820-g-15888","https://www.somogyi.hu/product/home-fhp-820-g-fem-gegecso-fhp-820-hamuporszivohoz-fhp-820-g-15888")</f>
        <v>0.0</v>
      </c>
      <c r="E2192" s="7" t="n">
        <f>HYPERLINK("https://www.somogyi.hu/data/img/product_main_images/small/15888.jpg","https://www.somogyi.hu/data/img/product_main_images/small/15888.jpg")</f>
        <v>0.0</v>
      </c>
      <c r="F2192" s="2" t="inlineStr">
        <is>
          <t>5999084939229</t>
        </is>
      </c>
      <c r="G2192" s="4" t="inlineStr">
        <is>
          <t>Az FHP 820/G Gégecső átmérője 3,3 cm, hossza 100 cm. 
Az FHP 820 Hamuporszívóhoz vásárolható meg.</t>
        </is>
      </c>
    </row>
    <row r="2193">
      <c r="A2193" s="3" t="inlineStr">
        <is>
          <t>FHP 820/S</t>
        </is>
      </c>
      <c r="B2193" s="2" t="inlineStr">
        <is>
          <t>Home FHP 820/S mosható szűrő FHP 820 hamuporszívóhoz</t>
        </is>
      </c>
      <c r="C2193" s="1" t="n">
        <v>2890.0</v>
      </c>
      <c r="D2193" s="7" t="n">
        <f>HYPERLINK("https://www.somogyi.hu/product/home-fhp-820-s-moshato-szuro-fhp-820-hamuporszivohoz-fhp-820-s-15884","https://www.somogyi.hu/product/home-fhp-820-s-moshato-szuro-fhp-820-hamuporszivohoz-fhp-820-s-15884")</f>
        <v>0.0</v>
      </c>
      <c r="E2193" s="7" t="n">
        <f>HYPERLINK("https://www.somogyi.hu/data/img/product_main_images/small/15884.jpg","https://www.somogyi.hu/data/img/product_main_images/small/15884.jpg")</f>
        <v>0.0</v>
      </c>
      <c r="F2193" s="2" t="inlineStr">
        <is>
          <t>5999084939182</t>
        </is>
      </c>
      <c r="G2193" s="4" t="inlineStr">
        <is>
          <t>Az FHP 820/S Mosható szűrő az FHP 820 hamuporszívóhoz vásárolható meg.</t>
        </is>
      </c>
    </row>
    <row r="2194">
      <c r="A2194" s="6" t="inlineStr">
        <is>
          <t xml:space="preserve">   Fűtés, Párátlanítás, Párásítás / Termosztát, zónamenedzser, kapcsoló, internetes modul</t>
        </is>
      </c>
      <c r="B2194" s="6" t="inlineStr">
        <is>
          <t/>
        </is>
      </c>
      <c r="C2194" s="6" t="inlineStr">
        <is>
          <t/>
        </is>
      </c>
      <c r="D2194" s="6" t="inlineStr">
        <is>
          <t/>
        </is>
      </c>
      <c r="E2194" s="6" t="inlineStr">
        <is>
          <t/>
        </is>
      </c>
      <c r="F2194" s="6" t="inlineStr">
        <is>
          <t/>
        </is>
      </c>
      <c r="G2194" s="6" t="inlineStr">
        <is>
          <t/>
        </is>
      </c>
    </row>
    <row r="2195">
      <c r="A2195" s="3" t="inlineStr">
        <is>
          <t>THE25W</t>
        </is>
      </c>
      <c r="B2195" s="2" t="inlineStr">
        <is>
          <t>Home THE25W digitális vezetékes szobatermosztát, falra szerelhető, programozható, ablaknyitás-érzékelés, fagyvédelmi funkció, fehér</t>
        </is>
      </c>
      <c r="C2195" s="1" t="n">
        <v>14490.0</v>
      </c>
      <c r="D2195" s="7" t="n">
        <f>HYPERLINK("https://www.somogyi.hu/product/home-the25w-digitalis-vezetekes-szobatermosztat-falra-szerelheto-programozhato-ablaknyitas-erzekeles-fagyvedelmi-funkcio-feher-the25w-18552","https://www.somogyi.hu/product/home-the25w-digitalis-vezetekes-szobatermosztat-falra-szerelheto-programozhato-ablaknyitas-erzekeles-fagyvedelmi-funkcio-feher-the25w-18552")</f>
        <v>0.0</v>
      </c>
      <c r="E2195" s="7" t="n">
        <f>HYPERLINK("https://www.somogyi.hu/data/img/product_main_images/small/18552.jpg","https://www.somogyi.hu/data/img/product_main_images/small/18552.jpg")</f>
        <v>0.0</v>
      </c>
      <c r="F2195" s="2" t="inlineStr">
        <is>
          <t>5999084965709</t>
        </is>
      </c>
      <c r="G2195" s="4" t="inlineStr">
        <is>
          <t>Szeretné otthona hőmérsékletét pontosan és hatékonyan szabályozni? A Home THE25W digitális termosztát az ideális választás, ha egy falra szerelhető, programozható és könnyen kezelhető hőmérséklet-szabályozó megoldást keres. 
Ez a termosztát számos praktikus funkcióval rendelkezik, amelyek biztosítják otthona kényelmét és energiahatékonyságát. A Home THE25W három különböző működési móddal rendelkezik: kézi, program szerinti és távollét. A napi négy programozható kapcsolási pont lehetővé teszi, hogy a termosztát pontosan az Ön életviteléhez igazodjon. A 0,5 °C pontosságú hőmérséklet-szabályozás garantálja, hogy mindig a kívánt hőmérsékletet érje el.
Az ablaknyitás-érzékelés funkció automatikusan kikapcsolja a fűtést, ha nyitva van az ablak, megakadályozva ezzel az energiaveszteséget. A fagyvédelmi funkció gondoskodik arról, hogy otthona védve legyen a hideg időjárás okozta károktól, mindig biztosítva a minimum hőmérsékletet.
A termosztát falra szerelhető, és a tartozék csavarokkal könnyedén rögzíthető. A tápellátását 2db 1,5 V-os (AAA) elemmel biztosítja (nem tartozék), így bárhol elhelyezheti otthonában. A kompakt mérete (13,5 x 8,7 x 2,3 cm) és esztétikus kialakítása révén diszkréten illeszkedik bármilyen belső térbe.
Ne habozzon, válassza a Home THE25W termosztátot, és tegye otthona hőmérséklet-szabályozását egyszerűvé és hatékonnyá, miközben energiát takarít meg!</t>
        </is>
      </c>
    </row>
    <row r="2196">
      <c r="A2196" s="3" t="inlineStr">
        <is>
          <t>RT520RF</t>
        </is>
      </c>
      <c r="B2196" s="2" t="inlineStr">
        <is>
          <t>SALUS RT520RF vezeték nélküli szobatermosztát, Opentherm csatlakozó, kontaktus kimenet, LCD, PIN kód, szerviz figyelmeztető, 5 - 32,5 °C</t>
        </is>
      </c>
      <c r="C2196" s="1" t="n">
        <v>51990.0</v>
      </c>
      <c r="D2196" s="7" t="n">
        <f>HYPERLINK("https://www.somogyi.hu/product/salus-rt520rf-vezetek-nelkuli-szobatermosztat-opentherm-csatlakozo-kontaktus-kimenet-lcd-pin-kod-szerviz-figyelmezteto-5-32-5-c-rt520rf-17671","https://www.somogyi.hu/product/salus-rt520rf-vezetek-nelkuli-szobatermosztat-opentherm-csatlakozo-kontaktus-kimenet-lcd-pin-kod-szerviz-figyelmezteto-5-32-5-c-rt520rf-17671")</f>
        <v>0.0</v>
      </c>
      <c r="E2196" s="7" t="n">
        <f>HYPERLINK("https://www.somogyi.hu/data/img/product_main_images/small/17671.jpg","https://www.somogyi.hu/data/img/product_main_images/small/17671.jpg")</f>
        <v>0.0</v>
      </c>
      <c r="F2196" s="2" t="inlineStr">
        <is>
          <t>5060103695867</t>
        </is>
      </c>
      <c r="G2196" s="4" t="inlineStr">
        <is>
          <t>Egy modern és megbízható megoldást keres otthona hőmérsékletének szabályozásához? Akkor Önnek a SALUS RT520RF vezeték nélküli szobatermosztátot javasoljuk.
A készülék kontaktus kimenettel és Opentherm kommunikációs csatlakozóval ellátott, így a kazánmodulációs üzem is könnyedén elérhető. Feltétele, hogy gázkazánja szabványos Opentherm központtal rendelkezzen. 
Nagy, letisztult és intuitív LCD kijelzőjén a megjelenő adatok könnyen leolvashatók. A választható Optimalizációs üzem lehetővé teszi az energiahatékonyság és komfort maximalizálását, míg a PIN-kód extra biztonságot nyújt és segítség az energiamegtakarítás területén is. 
A készülék szervizfigyelmeztetője tájékoztatja Önt a karbantartás szükségességéről. A készülék hőmérsékleti tartománya 5 és 33,5 °C között állítható. A 868 MHz-es RF működési frekvencia biztosítja az akadálymentes kommunikációt 30 méter hatótávolságban.
A termosztát kompatibilis többféle Salus vevővel. 2 db 1,5 V-os (AA) elemmel működik, mely a csomagolás részét képezi.
Fedezze fel a kényelmet, amit a SALUS RT520RF vezeték nélküli szobatermosztát nyújthat! Rendelje meg most, és lépjen be az intelligens otthonok világába!</t>
        </is>
      </c>
    </row>
    <row r="2197">
      <c r="A2197" s="3" t="inlineStr">
        <is>
          <t>THES25WWIFI</t>
        </is>
      </c>
      <c r="B2197" s="2" t="inlineStr">
        <is>
          <t>Home THES25WWIFI vezeték nélküli szobatermosztát, smart, hordozható és falra szerelhető, Wi-Fi kapcsolat, programozható, ablaknyitás érzékelés, fehér</t>
        </is>
      </c>
      <c r="C2197" s="1" t="n">
        <v>35490.0</v>
      </c>
      <c r="D2197" s="7" t="n">
        <f>HYPERLINK("https://www.somogyi.hu/product/home-thes25wwifi-vezetek-nelkuli-szobatermosztat-smart-hordozhato-es-falra-szerelheto-wi-fi-kapcsolat-programozhato-ablaknyitas-erzekeles-feher-thes25wwifi-18554","https://www.somogyi.hu/product/home-thes25wwifi-vezetek-nelkuli-szobatermosztat-smart-hordozhato-es-falra-szerelheto-wi-fi-kapcsolat-programozhato-ablaknyitas-erzekeles-feher-thes25wwifi-18554")</f>
        <v>0.0</v>
      </c>
      <c r="E2197" s="7" t="n">
        <f>HYPERLINK("https://www.somogyi.hu/data/img/product_main_images/small/18554.jpg","https://www.somogyi.hu/data/img/product_main_images/small/18554.jpg")</f>
        <v>0.0</v>
      </c>
      <c r="F2197" s="2" t="inlineStr">
        <is>
          <t>5999084965723</t>
        </is>
      </c>
      <c r="G2197" s="4" t="inlineStr">
        <is>
          <t>Olyan termosztátot keres, amely kényelmet és energiamegtakarítást biztosít Önnek, miközben otthonát okosabbá teszi? A Home THES25WWIFI okostermosztát tökéletes választás, ha egy olyan megoldásra vágyik, amely egyszerre hordozható és falra szerelhető, és könnyen vezérelhető Wi-Fi kapcsolaton keresztül. 
Ez a termosztát modern funkcióival nemcsak kényelmes, de energiatakarékos megoldást is kínál. 2db 1,5 V-os AAA elemmel működik (nem tartozék), így bárhová magával viheti, de falra is szerelheti. A Wi-Fi kapcsolatnak köszönhetően egyszerűen vezérelhető az okostelefonjára telepített applikációval, így mindig kézben tarthatja otthona hőmérsékletének szabályozását.
A Home THES25WWIFI három különböző működési módot kínál: kézi, program szerinti és távollét. A négy programozható kapcsolási pont naponta lehetővé teszi, hogy pontosan beállítsa a kívánt hőmérsékletet az Ön életmódjához igazodva. Az ablaknyitás érzékelés funkcióval automatikusan leállítja a fűtést, ha érzékeli, hogy nyitva van az ablak, így elkerülhető a felesleges energiaveszteség. A fagyvédelmi funkció pedig megakadályozza, hogy a hőmérséklet túl alacsonyra csökkenjen, megóvva ezzel otthonát a fagykároktól.
A fali rádiófrekvenciás egység (230 V~ 50 Hz) biztosítja a termosztát és a fűtési rendszer közötti megbízható kapcsolatot. A termosztát és a rádiófrekvenciás egység közötti rádiókapcsolat egyszerű és stabil vezérlést tesz lehetővé.A Home THES25WWIFI okostermosztát kompakt méretekkel rendelkezik (13,5 x 8,7 x 2,3 cm), így könnyedén elhelyezhető bárhol otthonában.
Ne habozzon, válassza a Home THES25WWIFI okostermosztátot, hogy otthona mindig kényelmes és energiatakarékos legyen, miközben Ön irányítása alatt tarthatja a hőmérséklet szabályozását!</t>
        </is>
      </c>
    </row>
    <row r="2198">
      <c r="A2198" s="3" t="inlineStr">
        <is>
          <t>T140C110AEU</t>
        </is>
      </c>
      <c r="B2198" s="2" t="inlineStr">
        <is>
          <t>Honeywell Home T140C110AEU digitális szobatermosztát T140, 5 - 30 °C, adaptív, szivattyúvédelem funkció, programozható, telefonos vezérlés, automatizált rendszerek</t>
        </is>
      </c>
      <c r="C2198" s="1" t="n">
        <v>27790.0</v>
      </c>
      <c r="D2198" s="7" t="n">
        <f>HYPERLINK("https://www.somogyi.hu/product/honeywell-home-t140c110aeu-digitalis-szobatermosztat-t140-5-30-c-adaptiv-szivattyuvedelem-funkcio-programozhato-telefonos-vezerles-automatizalt-rendszerek-t140c110aeu-17270","https://www.somogyi.hu/product/honeywell-home-t140c110aeu-digitalis-szobatermosztat-t140-5-30-c-adaptiv-szivattyuvedelem-funkcio-programozhato-telefonos-vezerles-automatizalt-rendszerek-t140c110aeu-17270")</f>
        <v>0.0</v>
      </c>
      <c r="E2198" s="7" t="n">
        <f>HYPERLINK("https://www.somogyi.hu/data/img/product_main_images/small/17270.jpg","https://www.somogyi.hu/data/img/product_main_images/small/17270.jpg")</f>
        <v>0.0</v>
      </c>
      <c r="F2198" s="2" t="inlineStr">
        <is>
          <t>5059085000295</t>
        </is>
      </c>
      <c r="G2198" s="4" t="inlineStr">
        <is>
          <t>Szeretne maximális kontrollt otthona fűtése felett? Akkor Önnek Honeywell Home RT140C110AEU T140 digitális szobatermosztát a megfelelő választás!
A termék kialakítása egyszerű használatot tesz lehetővé. A készülék 7 napos programozási, valamint napi 4 program rögzítési lehetőséget kínál. Az öntanuló algoritmusnak köszönhetően a készülék tanulja szokásait, így az optimális hőmérséklet mindig garantált. 
A készülék hőmérsékleti tartománya 5 és 30 °C között állítható, melyet 1°C léptékben végezhet. Az arányos adaptív mód egyedülálló tulajdonságával, korábbi ciklusok alapján, meghatározza a következő ciklus hosszát. A szivattyúvédelem-funkció hosszabb élettartamot és biztonságosabb üzemelést eredményez. 
Az RT140C110AEU 2 vagy 3 vezetékes telepítéshez is alkalmazható. Telefonos vezérlőhöz és otthoni automatizáló rendszerhez is csatlakoztatható.
Az elektromos terhelhetőséget illetően 5 A (240V~ esetén) rezisztív, és 2 A (240V~ esetén) kapacitív terhelést a maximum megengedett. Külső vezérlő bemenete 12 V DC +/- 10%, 2,5 mA. 2 db 1,5 V-os (AA) elemmel működtethető, melyek nem képezik a csomagolás részét. 
Szerezze be még ma és élvezze az okos otthon kényelmét és takarékosságát! Kis beruházással hosszú távú kényelmet és hatékonyságot érhet el!</t>
        </is>
      </c>
    </row>
    <row r="2199">
      <c r="A2199" s="3" t="inlineStr">
        <is>
          <t>DT90A1008</t>
        </is>
      </c>
      <c r="B2199" s="2" t="inlineStr">
        <is>
          <t>Honeywell Home DT90A1008 digitális szobatermosztát, 5 - 35 °C, fűtés/hűtés, üzemváltás, öntanuló, öndiagnózis</t>
        </is>
      </c>
      <c r="C2199" s="1" t="n">
        <v>14590.0</v>
      </c>
      <c r="D2199" s="7" t="n">
        <f>HYPERLINK("https://www.somogyi.hu/product/honeywell-home-dt90a1008-digitalis-szobatermosztat-5-35-c-futes-hutes-uzemvaltas-ontanulo-ondiagnozis-dt90a1008-13655","https://www.somogyi.hu/product/honeywell-home-dt90a1008-digitalis-szobatermosztat-5-35-c-futes-hutes-uzemvaltas-ontanulo-ondiagnozis-dt90a1008-13655")</f>
        <v>0.0</v>
      </c>
      <c r="E2199" s="7" t="n">
        <f>HYPERLINK("https://www.somogyi.hu/data/img/product_main_images/small/13655.jpg","https://www.somogyi.hu/data/img/product_main_images/small/13655.jpg")</f>
        <v>0.0</v>
      </c>
      <c r="F2199" s="2" t="inlineStr">
        <is>
          <t>5025121386135</t>
        </is>
      </c>
      <c r="G2199" s="4" t="inlineStr">
        <is>
          <t>Szüksége van egy eszközre, amely nem csak otthona fűtését, hanem hűtését is gond nélkül kezeli? A Honeywell Home DT90A1008 digitális szobatermosztát a tökéletes választás az Ön számára. 
Képes fűtés és hűtés közötti üzemátváltásra, így a változékony időjárási körülmények között is garantált az optimális hőmérséklet. A készülék hőmérsékleti tartománya 5 - 35 °C között állítható, melyet 0,5°C léptékben végezhet. A fejlett öntanuló szabályzás révén a Honeywell Home DT90A1008 folyamatosan alkalmazkodik a környezetéhez. Az érzékelőhiba-öndiagnózis funkciónak köszönhetően, időben észleli, ha bárminemű hiba lépne fel. 
Az eszköz 2 vezetékkel telepíthető. A 8 A rezisztív, valamint a 3 A induktív terhelhetőséggel megfelel a legtöbb otthoni rendszer elvárásainak. 
A termosztátot akár falra, akár kötődobozba is könnyedén felszerelheti. 
Az alacsony elemfeszültség figyelmeztető funkcióval sosem érheti meglepetés.  Az eszköz működését 2 db AA (LR6) alkáli elem biztosítja. 
A termék kompakt méretének (9 x 9 x 2,8 cm) köszönhetően tökéletesen illeszkedik bármelyik otthonba. 
Fedezze fel a modern, digitális hőmérsékletszabályozás előnyeit!</t>
        </is>
      </c>
    </row>
    <row r="2200">
      <c r="A2200" s="3" t="inlineStr">
        <is>
          <t>RT520</t>
        </is>
      </c>
      <c r="B2200" s="2" t="inlineStr">
        <is>
          <t>SALUS RT520 vezetékes szobatermosztát, Opentherm csatlakozó, kontaktus kimenet, LCD, PIN kód, szerviz figyelmeztető, 5 - 32,5 °C</t>
        </is>
      </c>
      <c r="C2200" s="1" t="n">
        <v>31190.0</v>
      </c>
      <c r="D2200" s="7" t="n">
        <f>HYPERLINK("https://www.somogyi.hu/product/salus-rt520-vezetekes-szobatermosztat-opentherm-csatlakozo-kontaktus-kimenet-lcd-pin-kod-szerviz-figyelmezteto-5-32-5-c-rt520-17672","https://www.somogyi.hu/product/salus-rt520-vezetekes-szobatermosztat-opentherm-csatlakozo-kontaktus-kimenet-lcd-pin-kod-szerviz-figyelmezteto-5-32-5-c-rt520-17672")</f>
        <v>0.0</v>
      </c>
      <c r="E2200" s="7" t="n">
        <f>HYPERLINK("https://www.somogyi.hu/data/img/product_main_images/small/17672.jpg","https://www.somogyi.hu/data/img/product_main_images/small/17672.jpg")</f>
        <v>0.0</v>
      </c>
      <c r="F2200" s="2" t="inlineStr">
        <is>
          <t>5060103695850</t>
        </is>
      </c>
      <c r="G2200" s="4" t="inlineStr">
        <is>
          <t>Egy modern és megbízható megoldást keres otthona hőmérsékletének szabályozásához? Akkor Önnek a SALUS RT520 vezetékes szobatermosztátot javasoljuk.
A készülék kontaktus kimenettel és Opentherm kommunikációs csatlakozóval ellátott, így a kazánmodulációs üzem is könnyedén elérhető. Feltétele, hogy gázkazánja szabványos Opentherm központtal rendelkezzen. Nagy, letisztult és intuitív LCD kijelzőjén a megjelenő adatok könnyen leolvashatók. A választható Optimalizációs üzem lehetővé teszi az energiahatékonyság és komfort maximalizálását, míg a PIN-kód extra biztonságot nyújt és segítség az energiamegtakarítás területén is.A készülék szervizfigyelmeztetője tájékoztatja Önt a karbantartás szükségességéről.
A készülék hőmérsékleti tartománya 5 és 33,5 °C között állítható. 2 db 1,5 V-os (AA) elemmel működtethető, mely a csomagolás részét képezi. Az eszköz kompakt méretének (9,5 x 11,8 x 2,6 cm) köszönhetően tökéletesen illeszkedik bármelyik otthonba.
Fedezze fel a kényelmet, amit a SALUS RT520 vezetékes szobatermosztát nyújthat! Rendelje meg most, és lépjen be az intelligens otthonok világába!</t>
        </is>
      </c>
    </row>
    <row r="2201">
      <c r="A2201" s="3" t="inlineStr">
        <is>
          <t>THE25B</t>
        </is>
      </c>
      <c r="B2201" s="2" t="inlineStr">
        <is>
          <t>Home THE25B digitális vezetékes szobatermosztát, falra szerelhető, programozható, ablaknyitás-érzékelés, fagyvédelmi funkció, fekete</t>
        </is>
      </c>
      <c r="C2201" s="1" t="n">
        <v>14490.0</v>
      </c>
      <c r="D2201" s="7" t="n">
        <f>HYPERLINK("https://www.somogyi.hu/product/home-the25b-digitalis-vezetekes-szobatermosztat-falra-szerelheto-programozhato-ablaknyitas-erzekeles-fagyvedelmi-funkcio-fekete-the25b-18551","https://www.somogyi.hu/product/home-the25b-digitalis-vezetekes-szobatermosztat-falra-szerelheto-programozhato-ablaknyitas-erzekeles-fagyvedelmi-funkcio-fekete-the25b-18551")</f>
        <v>0.0</v>
      </c>
      <c r="E2201" s="7" t="n">
        <f>HYPERLINK("https://www.somogyi.hu/data/img/product_main_images/small/18551.jpg","https://www.somogyi.hu/data/img/product_main_images/small/18551.jpg")</f>
        <v>0.0</v>
      </c>
      <c r="F2201" s="2" t="inlineStr">
        <is>
          <t>5999084965693</t>
        </is>
      </c>
      <c r="G2201" s="4" t="inlineStr">
        <is>
          <t>Szeretné otthona hőmérsékletét pontosan és hatékonyan szabályozni? A Home THE25B digitális termosztát az ideális választás, ha egy falra szerelhető, programozható és könnyen kezelhető hőmérséklet-szabályozó megoldást keres. 
Ez a termosztát számos praktikus funkcióval rendelkezik, amelyek biztosítják otthona kényelmét és energiahatékonyságát. A Home THE25B három különböző működési móddal rendelkezik: kézi, program szerinti és távollét. A napi négy programozható kapcsolási pont lehetővé teszi, hogy a termosztát pontosan az Ön életviteléhez igazodjon. A 0,5 °C pontosságú hőmérséklet-szabályozás garantálja, hogy mindig a kívánt hőmérsékletet érje el.
Az ablaknyitás-érzékelés funkció automatikusan kikapcsolja a fűtést, ha nyitva van az ablak, megakadályozva ezzel az energiaveszteséget. A fagyvédelmi funkció gondoskodik arról, hogy otthona védve legyen a hideg időjárás okozta károktól, mindig biztosítva a minimum hőmérsékletet.
A termosztát falra szerelhető, és a tartozék csavarokkal könnyedén rögzíthető. A tápellátását 2db 1,5 V-os (AAA) elemmel biztosítja (nem tartozék), így bárhol elhelyezheti otthonában. A kompakt mérete (13,5 x 8,7 x 2,3 cm) és esztétikus kialakítása révén diszkréten illeszkedik bármilyen belső térbe.
Ne habozzon, válassza a Home THE25B termosztátot, és tegye otthona hőmérséklet-szabályozását egyszerűvé és hatékonnyá, miközben energiát takarít meg!</t>
        </is>
      </c>
    </row>
    <row r="2202">
      <c r="A2202" s="3" t="inlineStr">
        <is>
          <t>THES25BWIFI</t>
        </is>
      </c>
      <c r="B2202" s="2" t="inlineStr">
        <is>
          <t>Home THES25BWIFI vezeték nélküli szobatermosztát, smart, hordozható és falra szerelhető, Wi-Fi kapcsolat, programozható, ablaknyitás érzékelés, fekete</t>
        </is>
      </c>
      <c r="C2202" s="1" t="n">
        <v>35490.0</v>
      </c>
      <c r="D2202" s="7" t="n">
        <f>HYPERLINK("https://www.somogyi.hu/product/home-thes25bwifi-vezetek-nelkuli-szobatermosztat-smart-hordozhato-es-falra-szerelheto-wi-fi-kapcsolat-programozhato-ablaknyitas-erzekeles-fekete-thes25bwifi-18553","https://www.somogyi.hu/product/home-thes25bwifi-vezetek-nelkuli-szobatermosztat-smart-hordozhato-es-falra-szerelheto-wi-fi-kapcsolat-programozhato-ablaknyitas-erzekeles-fekete-thes25bwifi-18553")</f>
        <v>0.0</v>
      </c>
      <c r="E2202" s="7" t="n">
        <f>HYPERLINK("https://www.somogyi.hu/data/img/product_main_images/small/18553.jpg","https://www.somogyi.hu/data/img/product_main_images/small/18553.jpg")</f>
        <v>0.0</v>
      </c>
      <c r="F2202" s="2" t="inlineStr">
        <is>
          <t>5999084965716</t>
        </is>
      </c>
      <c r="G2202" s="4" t="inlineStr">
        <is>
          <t>Olyan termosztátot keres, amely kényelmet és energiamegtakarítást biztosít Önnek, miközben otthonát okosabbá teszi? A Home THES25BWIFI okostermosztát tökéletes választás, ha egy olyan megoldásra vágyik, amely egyszerre hordozható és falra szerelhető, és könnyen vezérelhető Wi-Fi kapcsolaton keresztül. 
Ez a termosztát modern funkcióival nemcsak kényelmes, de energiatakarékos megoldást is kínál. 2db 1,5 V-os AAA elemmel működik (nem tartozék), így bárhová magával viheti, de falra is szerelheti. A Wi-Fi kapcsolatnak köszönhetően egyszerűen vezérelhető az okostelefonjára telepített applikációval, így mindig kézben tarthatja otthona hőmérsékletének szabályozását.
A Home THES25BWIFI három különböző működési módot kínál: kézi, program szerinti és távollét. A négy programozható kapcsolási pont naponta lehetővé teszi, hogy pontosan beállítsa a kívánt hőmérsékletet az Ön életmódjához igazodva. Az ablaknyitás érzékelés funkcióval automatikusan leállítja a fűtést, ha érzékeli, hogy nyitva van az ablak, így elkerülhető a felesleges energiaveszteség. A fagyvédelmi funkció pedig megakadályozza, hogy a hőmérséklet túl alacsonyra csökkenjen, megóvva ezzel otthonát a fagykároktól.
A fali rádiófrekvenciás egység (230 V~ 50 Hz) biztosítja a termosztát és a fűtési rendszer közötti megbízható kapcsolatot. A termosztát és a rádiófrekvenciás egység közötti rádiókapcsolat egyszerű és stabil vezérlést tesz lehetővé.A Home THES25BWIFI okostermosztát kompakt méretekkel rendelkezik (13,5 x 8,7 x 2,3 cm), így könnyedén elhelyezhető bárhol otthonában.
Ne habozzon, válassza a Home THES25BWIFI okostermosztátot, hogy otthona mindig kényelmes és energiatakarékos legyen, miközben Ön irányítása alatt tarthatja a hőmérséklet szabályozását!</t>
        </is>
      </c>
    </row>
    <row r="2203">
      <c r="A2203" s="6" t="inlineStr">
        <is>
          <t xml:space="preserve">   Fűtés, Párátlanítás, Párásítás / Párátlanító</t>
        </is>
      </c>
      <c r="B2203" s="6" t="inlineStr">
        <is>
          <t/>
        </is>
      </c>
      <c r="C2203" s="6" t="inlineStr">
        <is>
          <t/>
        </is>
      </c>
      <c r="D2203" s="6" t="inlineStr">
        <is>
          <t/>
        </is>
      </c>
      <c r="E2203" s="6" t="inlineStr">
        <is>
          <t/>
        </is>
      </c>
      <c r="F2203" s="6" t="inlineStr">
        <is>
          <t/>
        </is>
      </c>
      <c r="G2203" s="6" t="inlineStr">
        <is>
          <t/>
        </is>
      </c>
    </row>
    <row r="2204">
      <c r="A2204" s="3" t="inlineStr">
        <is>
          <t>DHM 10LR</t>
        </is>
      </c>
      <c r="B2204" s="2" t="inlineStr">
        <is>
          <t>Home DHM 10LR párátlanító, ajánlott szobaméret max. 20 m2, 10 liter párátlanító kapacitás, R290 töltőgáz, 2,2 literes víztartály, 5 üzemmód</t>
        </is>
      </c>
      <c r="C2204" s="1" t="n">
        <v>72990.0</v>
      </c>
      <c r="D2204" s="7" t="n">
        <f>HYPERLINK("https://www.somogyi.hu/product/home-dhm-10lr-paratlanito-ajanlott-szobameret-max-20-m2-10-liter-paratlanito-kapacitas-r290-toltogaz-2-2-literes-viztartaly-5-uzemmod-dhm-10lr-17061","https://www.somogyi.hu/product/home-dhm-10lr-paratlanito-ajanlott-szobameret-max-20-m2-10-liter-paratlanito-kapacitas-r290-toltogaz-2-2-literes-viztartaly-5-uzemmod-dhm-10lr-17061")</f>
        <v>0.0</v>
      </c>
      <c r="E2204" s="7" t="n">
        <f>HYPERLINK("https://www.somogyi.hu/data/img/product_main_images/small/17061.jpg","https://www.somogyi.hu/data/img/product_main_images/small/17061.jpg")</f>
        <v>0.0</v>
      </c>
      <c r="F2204" s="2" t="inlineStr">
        <is>
          <t>5999084950934</t>
        </is>
      </c>
      <c r="G2204" s="4" t="inlineStr">
        <is>
          <t>Gondot okoz az otthonában a túlzott páratartalom? A Home DHM 10LR párátlanító egy ideális választás, amely segít egészségesebbé és kényelmesebbé tenni a levegőt. 
Kifejezetten kisebb helyiségek, 10-20 m² méretű szobák számára készült, hatékonyan szabályozva a páratartalmat. Ez a párátlanító akár 10 liter vizet is képes eltávolítani a levegőből naponta, 30°C hőmérsékleten és 80%-os relatív páratartalom mellett. Alacsonyabb, 27°C hőmérsékleten és 60%-os páratartalom mellett is megbízhatóan működik, napi 5 liter vízkivonási kapacitással. A készülék segítségével beállítható a kívánt páratartalom, amely 30% és 80% között szabadon választható, így könnyen biztosítható az optimális légállapot a helyiségekben.
A Home DHM 10LR párátlanító 2,2 literes víztartállyal rendelkezik, így hosszú ideig képes működni, anélkül, hogy gyakran kellene üríteni. Ráadásul a készülék tartalmaz egy kivezető csövet is, amely lehetővé teszi a víz folyamatos elvezetését, hogy még kényelmesebb legyen a használata. A készülék praktikus funkciói közé tartozik a 1-24 órás kikapcsolásidőzítés, amely óránként állítható, így Ön bármikor beállíthatja, hogy a párátlanító mikor kapcsoljon ki. A kerekeken gördíthető kialakításnak köszönhetően könnyedén áthelyezhető egyik helyiségből a másikba, anélkül, hogy megemelni kellene. A biztonságról pedig a gyerekzár gondoskodik, amely megakadályozza a véletlen beállításmódosításokat.
A Home DHM 10LR párátlanító energiatakarékosan működik, csupán 200 W névleges teljesítménnyel. Emellett rendkívül halk, a 45 dB-es zajszintje biztosítja, hogy a készülék működése ne zavarja a mindennapokat. Környezetbarát R290-es hűtőközege is hozzájárul a fenntarthatóbb működéshez.
Ne hagyja, hogy a párás levegő rontsa otthona komfortját! Vásárolja meg a Home DHM 10LR párátlanítót, és élvezze a friss, száraz levegőt nap mint nap!</t>
        </is>
      </c>
    </row>
    <row r="2205">
      <c r="A2205" s="3" t="inlineStr">
        <is>
          <t>DHM 300</t>
        </is>
      </c>
      <c r="B2205" s="2" t="inlineStr">
        <is>
          <t>Home DHM 300 párátlanító, Peltier rendszerű, párátlanítás max. 300 ml/nap, 0,5 literes víztartály, halk működés</t>
        </is>
      </c>
      <c r="C2205" s="1" t="n">
        <v>21490.0</v>
      </c>
      <c r="D2205" s="7" t="n">
        <f>HYPERLINK("https://www.somogyi.hu/product/home-dhm-300-paratlanito-peltier-rendszeru-paratlanitas-max-300-ml-nap-0-5-literes-viztartaly-halk-mukodes-dhm-300-16754","https://www.somogyi.hu/product/home-dhm-300-paratlanito-peltier-rendszeru-paratlanitas-max-300-ml-nap-0-5-literes-viztartaly-halk-mukodes-dhm-300-16754")</f>
        <v>0.0</v>
      </c>
      <c r="E2205" s="7" t="n">
        <f>HYPERLINK("https://www.somogyi.hu/data/img/product_main_images/small/16754.jpg","https://www.somogyi.hu/data/img/product_main_images/small/16754.jpg")</f>
        <v>0.0</v>
      </c>
      <c r="F2205" s="2" t="inlineStr">
        <is>
          <t>5999084947866</t>
        </is>
      </c>
      <c r="G2205" s="4" t="inlineStr">
        <is>
          <t>Unja már magas páratartalmat otthonában? A Home DHM 300 párátlanító csendes megoldást kínál a komfortosabb otthoni környezethez.
A modern Peltier-technológiának köszönhetően ez a párátlanító kompresszor és klímagáz nélkül működik, így nemcsak könnyű, hanem rendkívül halk is, nem zavarva az otthon nyugalmát. A készülék 300 ml/nap maximális párátlanítási kapacitása biztosítja (25 °C, 85% RH körülmények között), hogy kisebb helyiségek páramentesek legyenek.
A 0,5 literes víztartály töltöttséget követően a készülék automatikusan kikapcsol, ezzel is csökkentve az áramfogyasztást és megelőzve a túlcsordulást. A csomaghoz tartozó hálózati adapterrel rendelkezik, így azonnal használhatóvá válik bárhol az otthonában.
Az alacsony, mindössze 22,5 wattos teljesítmény nem terheli meg a pénztárcát, a készülék kompakt méretei (15 x 22 x 13 cm) lehetővé teszik, hogy szinte észrevétlen maradjon a használat során.
Válassza a Home DHM 300 párátlanítót, ha egy könnyű és hatékony megoldást keres a párás levegő ellen. Ne hagyja, hogy a nedvesség befolyásolja otthonának komfortját és levegőjének minőségét.</t>
        </is>
      </c>
    </row>
    <row r="2206">
      <c r="A2206" s="3" t="inlineStr">
        <is>
          <t>DHM 710</t>
        </is>
      </c>
      <c r="B2206" s="2" t="inlineStr">
        <is>
          <t>Home DHM 710 párátlanító, Peltier rendszerű, párátlanítás max. 700 ml/nap, 1,65 literes víztartály, halk működés</t>
        </is>
      </c>
      <c r="C2206" s="1" t="n">
        <v>31990.0</v>
      </c>
      <c r="D2206" s="7" t="n">
        <f>HYPERLINK("https://www.somogyi.hu/product/home-dhm-710-paratlanito-peltier-rendszeru-paratlanitas-max-700-ml-nap-1-65-literes-viztartaly-halk-mukodes-dhm-710-17776","https://www.somogyi.hu/product/home-dhm-710-paratlanito-peltier-rendszeru-paratlanitas-max-700-ml-nap-1-65-literes-viztartaly-halk-mukodes-dhm-710-17776")</f>
        <v>0.0</v>
      </c>
      <c r="E2206" s="7" t="n">
        <f>HYPERLINK("https://www.somogyi.hu/data/img/product_main_images/small/17776.jpg","https://www.somogyi.hu/data/img/product_main_images/small/17776.jpg")</f>
        <v>0.0</v>
      </c>
      <c r="F2206" s="2" t="inlineStr">
        <is>
          <t>5999084957988</t>
        </is>
      </c>
      <c r="G2206" s="4" t="inlineStr">
        <is>
          <t>Zavarja a párás levegő az otthoni kényelmét? A Home DHM 710 párátlanító elegáns és hatékony megoldást kínál, zavaró zaj nélkül.
Az innovatív Peltier rendszer alkalmazásával ez a párátlanító kiemelkedik halk működésével és környezetbarát megközelítésével, mivel sem kompresszort, sem klímagázt nem használ. A készülék naponta akár 700 ml nedvességet is képes eltávolítani a levegőből (25 °C, 85% RH mellett), ami jelentősen javítja az otthoni levegőminőséget.
Az 1,65 literes víztartály gondoskodik arról, hogy a készülék ne igényeljen gyakori ürítést, telítődéskor automatikus kikapcsolási funkcióval van ellátva, ami biztonságossá és praktikussá teszi a használatot. Könnyű kivitelezésének és halk működésének köszönhetően a Home DHM 710 zavartalanul illeszkedik az otthoni életbe.
A 72 wattos energiabefektetés mellett a készülék méretei (24 x 36 x 12 cm) ideálisak, így a készülék diszkréten illeszkedik bármilyen szoba berendezésébe, anélkül, hogy túl nagy helyet foglalna el.
Fedezze fel a Home DHM 710 párátlanító által nyújtott tiszta és komfortos otthoni környezet előnyeit. Vásárolja meg még ma, hogy otthona levegője olyan friss és száraz legyen, ahogyan Ön megálmodta!</t>
        </is>
      </c>
    </row>
    <row r="2207">
      <c r="A2207" s="3" t="inlineStr">
        <is>
          <t>TP SMALL</t>
        </is>
      </c>
      <c r="B2207" s="2" t="inlineStr">
        <is>
          <t>Honeywell TP SMALL párátlanító, 270 W, 24 liter párátlanító kapacitás, R290 töltőgáz, 3,3 literes víztartály, digitális kezelőpanel</t>
        </is>
      </c>
      <c r="C2207" s="1" t="n">
        <v>146990.0</v>
      </c>
      <c r="D2207" s="7" t="n">
        <f>HYPERLINK("https://www.somogyi.hu/product/honeywell-tp-small-paratlanito-270-w-24-liter-paratlanito-kapacitas-r290-toltogaz-3-3-literes-viztartaly-digitalis-kezelopanel-tp-small-16879","https://www.somogyi.hu/product/honeywell-tp-small-paratlanito-270-w-24-liter-paratlanito-kapacitas-r290-toltogaz-3-3-literes-viztartaly-digitalis-kezelopanel-tp-small-16879")</f>
        <v>0.0</v>
      </c>
      <c r="E2207" s="7" t="n">
        <f>HYPERLINK("https://www.somogyi.hu/data/img/product_main_images/small/16879.jpg","https://www.somogyi.hu/data/img/product_main_images/small/16879.jpg")</f>
        <v>0.0</v>
      </c>
      <c r="F2207" s="2" t="inlineStr">
        <is>
          <t>4895007939882</t>
        </is>
      </c>
      <c r="G2207" s="4" t="inlineStr">
        <is>
          <t>Milyen érzés lenne, ha otthona levegője mindig friss, páramentes és kellemes lenne? A Honeywell TP SMALL párátlanítóval ez a kényelem most könnyen elérhetővé válik.
A Honeywell TP SMALL digitális kezelőpanelje révén egyszerűvé és intuitívvá teszi a használatot, miközben a környezetbarát R290 töltőgáz használata biztosítja, hogy a készülék a környezetvédelem legújabb előírásainak is megfeleljen. A 3,3 literes víztartállyal rendelkező készülék 24 óra alatt akár 24 liter nedvességet is képes eltávolítani, biztosítva ezzel az optimális páratartalmat (30-90% RH között állítható) otthonában.
A gördíthető kerekeknek köszönhetően a párátlanító könnyen mozgatható egyik helyiségből a másikba, a mosható porszűrő pedig garantálja, hogy a levegő tisztasága mellett a készülék tisztán tartása sem jelent majd gondot. A kivehető víztartály és a folyamatos vízelvezetési lehetőség révén a készülék karbantartása is rendkívül egyszerű – az 1 méter hosszú vízelvezető csőnek köszönhetően.
Praktikus kiegészítői közé tartozik a hordfül, a vezetéktartó és a 24 órás időzítő, melyek még inkább felhasználóbaráttá teszik a készüléket. A 270 wattos teljesítmény mellett is gazdaságos működésű, és méreteivel (33,5x51,1x26,7cm) illetve 14,8 kg tömegével a készülék nem foglal túl sok helyet, könnyen elhelyezhető bármely szobában.
Változtasson a Honeywell TP SMALL párátlanítóval lakótere levegőminőségén. Ne hagyja ki a lehetőséget, hogy otthona olyan ideális legyen, amire mindig is vágyott!
Figyelem! Tűzveszélyes! A készüléket beüzemelni, használni, tárolni legalább 13 m2 alapterületű helyiségben szabad!</t>
        </is>
      </c>
    </row>
    <row r="2208">
      <c r="A2208" s="6" t="inlineStr">
        <is>
          <t xml:space="preserve">   Fűtés, Párátlanítás, Párásítás / Párásító</t>
        </is>
      </c>
      <c r="B2208" s="6" t="inlineStr">
        <is>
          <t/>
        </is>
      </c>
      <c r="C2208" s="6" t="inlineStr">
        <is>
          <t/>
        </is>
      </c>
      <c r="D2208" s="6" t="inlineStr">
        <is>
          <t/>
        </is>
      </c>
      <c r="E2208" s="6" t="inlineStr">
        <is>
          <t/>
        </is>
      </c>
      <c r="F2208" s="6" t="inlineStr">
        <is>
          <t/>
        </is>
      </c>
      <c r="G2208" s="6" t="inlineStr">
        <is>
          <t/>
        </is>
      </c>
    </row>
    <row r="2209">
      <c r="A2209" s="3" t="inlineStr">
        <is>
          <t>AD 500</t>
        </is>
      </c>
      <c r="B2209" s="2" t="inlineStr">
        <is>
          <t xml:space="preserve">Home AD 500 aromadiffúzor, ultrahangos hidegpárásító, 500 ml kapacitás, önállóan is használható világítás, melegfehér fény, tartozék hálózati adapter </t>
        </is>
      </c>
      <c r="C2209" s="1" t="n">
        <v>22590.0</v>
      </c>
      <c r="D2209" s="7" t="n">
        <f>HYPERLINK("https://www.somogyi.hu/product/home-ad-500-aromadiffuzor-ultrahangos-hidegparasito-500-ml-kapacitas-onalloan-is-hasznalhato-vilagitas-melegfeher-feny-tartozek-halozati-adapter-ad-500-17568","https://www.somogyi.hu/product/home-ad-500-aromadiffuzor-ultrahangos-hidegparasito-500-ml-kapacitas-onalloan-is-hasznalhato-vilagitas-melegfeher-feny-tartozek-halozati-adapter-ad-500-17568")</f>
        <v>0.0</v>
      </c>
      <c r="E2209" s="7" t="n">
        <f>HYPERLINK("https://www.somogyi.hu/data/img/product_main_images/small/17568.jpg","https://www.somogyi.hu/data/img/product_main_images/small/17568.jpg")</f>
        <v>0.0</v>
      </c>
      <c r="F2209" s="2" t="inlineStr">
        <is>
          <t>5999084955908</t>
        </is>
      </c>
      <c r="G2209" s="4" t="inlineStr">
        <is>
          <t>Az AD 500 Aroma diffúzor esztétikus porcelán és fa kivitelével, valamint hangulatfényével a lakás dísze lesz, de akár irodákban, edzőtermekben vagy masszázs stúdiókban is tökéletes lehet. 
Ultrahangos hidegpárásítónak és éjszakai fénynek is kiváló. A világítás színeit hangulatától függően kiválaszthatja, de akár folyamatos színváltás is állítható rajta. 
Ha az 500 ml-es víztartály kiürül, a készülék kikapcsol. Párásítási kapacitása 20- 30 ml/h, melyet folyamatosan vagy szakaszosan működtethet.  
Tartozékként szállítjuk a beltéri hálózati adaptert. 
Csepegtessen 100% tisztaságú illóolajat a készülékbe és relaxáljon az AD 500 aroma diffúzorral.</t>
        </is>
      </c>
    </row>
    <row r="2210">
      <c r="A2210" s="3" t="inlineStr">
        <is>
          <t>AD 15 P</t>
        </is>
      </c>
      <c r="B2210" s="2" t="inlineStr">
        <is>
          <t>Home AD 15 P aroma diffúzor, porlasztó, aromaolajjal működő, 2 intenzitás, érintőgomb, hangulatfény, tartozék hálózati adapter</t>
        </is>
      </c>
      <c r="C2210" s="1" t="n">
        <v>13790.0</v>
      </c>
      <c r="D2210" s="7" t="n">
        <f>HYPERLINK("https://www.somogyi.hu/product/home-ad-15-p-aroma-diffuzor-porlaszto-aromaolajjal-mukodo-2-intenzitas-erintogomb-hangulatfeny-tartozek-halozati-adapter-ad-15-p-17567","https://www.somogyi.hu/product/home-ad-15-p-aroma-diffuzor-porlaszto-aromaolajjal-mukodo-2-intenzitas-erintogomb-hangulatfeny-tartozek-halozati-adapter-ad-15-p-17567")</f>
        <v>0.0</v>
      </c>
      <c r="E2210" s="7" t="n">
        <f>HYPERLINK("https://www.somogyi.hu/data/img/product_main_images/small/17567.jpg","https://www.somogyi.hu/data/img/product_main_images/small/17567.jpg")</f>
        <v>0.0</v>
      </c>
      <c r="F2210" s="2" t="inlineStr">
        <is>
          <t>5999084955892</t>
        </is>
      </c>
      <c r="G2210" s="4" t="inlineStr">
        <is>
          <t>Hogyan teremthet otthonában nyugodt, harmonikus légkört gyorsan és egyszerűen?
A Home AD 15 P aroma diffúzor egyedülálló megoldást nyújt azok számára, akik tiszta és természetes illatélményre vágynak. Ez a víz nélkül, kizárólag tiszta aromaolajjal működő porlasztó már néhány csepp illóolajjal is képes kellemes atmoszférát varázsolni otthonában vagy munkahelyén. Az elegáns kialakítású készülék nemcsak az illatokat juttatja a levegőbe, hanem hangulatfénye révén vizuális élményt is nyújt.
Kiemelkedő teljesítmény és praktikus funkciók
A diffúzor két intenzitási szinttel rendelkezik, így Ön kiválaszthatja, hogy enyhébb vagy erősebb illatkibocsátásra van-e szüksége. Az alacsony intenzitás üzemmódban a készülék szakaszosan, 2 perc működés és 1 perc szünet váltakozásával működik, míg a magas intenzitás esetében ez az arány 2 perc működés és 2 perc szünet. Ennek köszönhetően a diffúzor gazdaságosan használja az illóolajat, miközben folyamatos illatot biztosít.
Stílusos megjelenés és hangulatos fények
A Home AD 15 P diffúzor különleges üveg palackkal és fúvókával készült, ami eleganciát sugároz bármilyen környezetben. A beépített színváltó hangulatfény nemcsak vizuális élményt nyújt, hanem a pihentető légkör megteremtésében is fontos szerepet játszik. Amennyiben nincs szükség a fényre, egyetlen érintéssel kikapcsolható. Az egyszerű használatot az érintőgombos vezérlés teszi még kényelmesebbé.
Gazdaságos és hatékony működés
A diffúzor 10-15 csepp aromaolajjal is működtethető, maximális kapacitása pedig 50 ml illóolaj. A készülék automatikusan kikapcsol 2 óra működés után, így nem kell aggódnia amiatt, hogy túl sokáig marad bekapcsolva. A diffúzor tápellátását a csomagban található beltéri hálózati adapter biztosítja, így Önnek nem kell külön tápegységet beszereznie.
Miért érdemes a Home AD 15 P aroma diffúzort választani?
– Tisztán aromaolajjal működik, nincs szükség vízre 
– Két választható intenzitási szinttel szabályozható az illatkibocsátás 
– Elegáns üvegpalackos kivitel és érintőgombos vezérlés 
– Színváltó hangulatfény, amely igény szerint kikapcsolható 
– 2 órás automatikus kikapcsolás az energiatakarékos működésért 
– Tartozék beltéri hálózati adapter a kényelmes használathoz
Ne elégedjen meg a hétköznapi illatosítókkal! Szerezze be a Home AD 15 P aroma diffúzort, és élvezze a természetes illatok nyugtató hatását otthonában vagy munkahelyén, amikor csak szeretné!</t>
        </is>
      </c>
    </row>
    <row r="2211">
      <c r="A2211" s="3" t="inlineStr">
        <is>
          <t>AD 200</t>
        </is>
      </c>
      <c r="B2211" s="2" t="inlineStr">
        <is>
          <t xml:space="preserve">Home AD 200 aromadiffúzor, ultrahangos hidegpárásító, bambusz alapzat és fedél, 200 ml kapacitás, folyamatos színváltás,  tartozék hálózati adapter </t>
        </is>
      </c>
      <c r="C2211" s="1" t="n">
        <v>11790.0</v>
      </c>
      <c r="D2211" s="7" t="n">
        <f>HYPERLINK("https://www.somogyi.hu/product/home-ad-200-aromadiffuzor-ultrahangos-hidegparasito-bambusz-alapzat-es-fedel-200-ml-kapacitas-folyamatos-szinvaltas-tartozek-halozati-adapter-ad-200-17565","https://www.somogyi.hu/product/home-ad-200-aromadiffuzor-ultrahangos-hidegparasito-bambusz-alapzat-es-fedel-200-ml-kapacitas-folyamatos-szinvaltas-tartozek-halozati-adapter-ad-200-17565")</f>
        <v>0.0</v>
      </c>
      <c r="E2211" s="7" t="n">
        <f>HYPERLINK("https://www.somogyi.hu/data/img/product_main_images/small/17565.jpg","https://www.somogyi.hu/data/img/product_main_images/small/17565.jpg")</f>
        <v>0.0</v>
      </c>
      <c r="F2211" s="2" t="inlineStr">
        <is>
          <t>5999084955878</t>
        </is>
      </c>
      <c r="G2211" s="4" t="inlineStr">
        <is>
          <t>Az AD 200 Aroma diffúzor esztétikus bambusz kivitelével és színes hangulatfényével a lakás dísze lesz, de akár irodákban, edzőtermekben vagy masszázs stúdiókban is tökéletes lehet. 
Ultrahangos hidegpárásítónak és éjszakai fénynek is kiváló. A világítás színeit hangulatától függően kiválaszthatja, de akár folyamatos színváltás is állítható rajta. 
Ha a 200 ml-es víztartály kiürül, a készülék kikapcsol. Párásítási kapacitása 20- 30 ml/h, melyet folyamatosan vagy szakaszosan működtethet.  
Tartozékként szállítjuk a beltéri hálózati adaptert. 
Csepegtessen 100% tisztaságú illóolajat a készülékbe és relaxáljon az AD 200 aroma diffúzorral.</t>
        </is>
      </c>
    </row>
    <row r="2212">
      <c r="A2212" s="3" t="inlineStr">
        <is>
          <t>UHP 4000B</t>
        </is>
      </c>
      <c r="B2212" s="2" t="inlineStr">
        <is>
          <t>Home UHP 4000B ultrahangos hidegpárásító, 30 W, víztartály kapacitása 4 liter, 3 fokozat, ajánlott szobaméret max. 40 m2,</t>
        </is>
      </c>
      <c r="C2212" s="1" t="n">
        <v>22090.0</v>
      </c>
      <c r="D2212" s="7" t="n">
        <f>HYPERLINK("https://www.somogyi.hu/product/home-uhp-4000b-ultrahangos-hidegparasito-30-w-viztartaly-kapacitasa-4-liter-3-fokozat-ajanlott-szobameret-max-40-m2-uhp-4000b-17912","https://www.somogyi.hu/product/home-uhp-4000b-ultrahangos-hidegparasito-30-w-viztartaly-kapacitasa-4-liter-3-fokozat-ajanlott-szobameret-max-40-m2-uhp-4000b-17912")</f>
        <v>0.0</v>
      </c>
      <c r="E2212" s="7" t="n">
        <f>HYPERLINK("https://www.somogyi.hu/data/img/product_main_images/small/17912.jpg","https://www.somogyi.hu/data/img/product_main_images/small/17912.jpg")</f>
        <v>0.0</v>
      </c>
      <c r="F2212" s="2" t="inlineStr">
        <is>
          <t>5999084959340</t>
        </is>
      </c>
      <c r="G2212" s="4" t="inlineStr">
        <is>
          <t>Vajon érezte már otthonában a friss és tiszta levegő megnyugtató hatását? A Home UHP 4000B ultrahangos hidegpárásítóval mostantól Ön is élvezheti ezt a felszabadító élményt.
Az érintőgombos vezérlés gondoskodik arról, hogy a Home UHP 4000B párásítóját mindenki könnyedén, gombnyomásra szabályozhassa. A hatalmas, 4 literes víztartályának köszönhetően hosszantartó párásítást biztosít, így nem lesz szükség gyakori utántöltésre. A három fokozatban állítható párásítás segítségével mindenki megtalálhatja a számára ideális beállítást, míg a különböző színű visszajelző fényekkel könnyedén ellenőrizhető a jelenlegi mód.
A készülék kiemelkedő teljesítménye óránként akár 250 ml párásításra is képes, ajánlott szobaméretének (max. 40 m^2) köszönhetően pedig a tágasabb helyiségekben is kiválóan használható. A víztartály betekintő ablaka révén a vízszint ellenőrzése gyermekjáték, míg a vízhiány esetén automatikus kikapcsolás funkciója biztosítja a készülék hosszú élettartamát.
A rendkívül alacsony, mindössze 35 dB(A) zajszintnek köszönhetően a Home UHP 4000B ultrahangos hidegpárásító szinte észrevétlenül végzi a munkáját. A 30 wattos energiafelhasználása pedig gazdaságos, így nem kell aggódnia a villanyszámla miatt. A párásító kompakt méreteivel (23,5x33x12,5cm) pedig könnyedén elfér minden szobában.
Tegye otthonát még kellemesebb helyszínné a Home UHP 4000B ultrahangos hidegpárásítóval, melynek segítségével a friss és egészséges levegő nem luxus, hanem mindennapi valóság. Rendelje meg még ma, és élvezze a tiszta levegő előnyeit már holnaptól!</t>
        </is>
      </c>
    </row>
    <row r="2213">
      <c r="A2213" s="3" t="inlineStr">
        <is>
          <t>AD 200F</t>
        </is>
      </c>
      <c r="B2213" s="2" t="inlineStr">
        <is>
          <t>Home AD 200F aromadiffúzor lángeffekttel, ultrahangos hidegpárásító, 200 ml kapacitás, tartozék hálózati adapter</t>
        </is>
      </c>
      <c r="C2213" s="1" t="n">
        <v>17090.0</v>
      </c>
      <c r="D2213" s="7" t="n">
        <f>HYPERLINK("https://www.somogyi.hu/product/home-ad-200f-aromadiffuzor-langeffekttel-ultrahangos-hidegparasito-200-ml-kapacitas-tartozek-halozati-adapter-ad-200f-17847","https://www.somogyi.hu/product/home-ad-200f-aromadiffuzor-langeffekttel-ultrahangos-hidegparasito-200-ml-kapacitas-tartozek-halozati-adapter-ad-200f-17847")</f>
        <v>0.0</v>
      </c>
      <c r="E2213" s="7" t="n">
        <f>HYPERLINK("https://www.somogyi.hu/data/img/product_main_images/small/17847.jpg","https://www.somogyi.hu/data/img/product_main_images/small/17847.jpg")</f>
        <v>0.0</v>
      </c>
      <c r="F2213" s="2" t="inlineStr">
        <is>
          <t>5999084958695</t>
        </is>
      </c>
      <c r="G2213" s="4" t="inlineStr">
        <is>
          <t>Multifunkciós eszközt keres, amely nemcsak a levegő minőségét javítja, hanem otthona hangulatát is fokozza? A Home AD200F Aromadiffúzor a tökéletes választás, ha egy elegáns és praktikus kiegészítőt keres otthonába.
Ez az ultrahangos hidegpárásító egyben aromadiffúzor is, amely kellemes illóolajokat terjeszt a levegőben, miközben javítja a légtér minőségét. A különleges melegfehér lángeffekt és hangulatfény kellemes atmoszférát teremt, így tökéletes választás a pihentető vagy romantikus estékhez. A diffúzor víztartályának kapacitása 200 ml, ami elegendő hosszú órákon át tartó használathoz. Két különböző fényerő és pulzáló fény közül választhat, hogy az aktuális hangulatnak megfelelően alakítsa a környezetet.
Az önálló párásítási funkció lehetővé teszi, hogy csak a levegő nedvességtartalmát növelje, anélkül, hogy illóolajokat használna. Biztonsági funkcióként a készülék automatikusan kikapcsol, amikor a víz elfogy, így nem kell aggódnia a túlmelegedés vagy egyéb problémák miatt. A tartozék hálózati adapterrel könnyedén csatlakoztathatja a diffúzort az elektromos hálózatra. Mérete (20 x 13 x 8 cm) ideális, nem foglal sok helyet, és könnyen elfér az asztalon, polcon vagy éjjeliszekrényen.
Válassza a Home AD200F Aromadiffúzort, és élvezze a friss, illatos levegőt, miközben kellemes hangulatvilágítás tölti be otthonát. Rendelje meg most, és tegye különlegessé otthonának légkörét ezzel az elegáns és multifunkciós készülékkel!</t>
        </is>
      </c>
    </row>
    <row r="2214">
      <c r="A2214" s="3" t="inlineStr">
        <is>
          <t>AD 280</t>
        </is>
      </c>
      <c r="B2214" s="2" t="inlineStr">
        <is>
          <t xml:space="preserve">Home AD 280 aromadiffúzor, ultrahangos hidegpárásító, 280 ml kapacitás, melegfehér világítás, folyamatos vagy szakaszos párásítás, tartozék hálózati adapter </t>
        </is>
      </c>
      <c r="C2214" s="1" t="n">
        <v>17890.0</v>
      </c>
      <c r="D2214" s="7" t="n">
        <f>HYPERLINK("https://www.somogyi.hu/product/home-ad-280-aromadiffuzor-ultrahangos-hidegparasito-280-ml-kapacitas-melegfeher-vilagitas-folyamatos-vagy-szakaszos-parasitas-tartozek-halozati-adapter-ad-280-17569","https://www.somogyi.hu/product/home-ad-280-aromadiffuzor-ultrahangos-hidegparasito-280-ml-kapacitas-melegfeher-vilagitas-folyamatos-vagy-szakaszos-parasitas-tartozek-halozati-adapter-ad-280-17569")</f>
        <v>0.0</v>
      </c>
      <c r="E2214" s="7" t="n">
        <f>HYPERLINK("https://www.somogyi.hu/data/img/product_main_images/small/17569.jpg","https://www.somogyi.hu/data/img/product_main_images/small/17569.jpg")</f>
        <v>0.0</v>
      </c>
      <c r="F2214" s="2" t="inlineStr">
        <is>
          <t>5999084955915</t>
        </is>
      </c>
      <c r="G2214" s="4" t="inlineStr">
        <is>
          <t>Az AD 280 Aroma diffúzor esztétikus porcelán és fa kivitelével, valamint hangulatfényével a lakás dísze lesz, de akár irodákban, edzőtermekben vagy masszázs stúdiókban is tökéletes lehet. 
Ultrahangos hidegpárásítónak és éjszakai fénynek is kiváló. Két fokozatú fényerő és egy lágyan pulzáló fényerőt választhat ki hangulatának megfelelően. Számos funkció közül választhat, mint például az elalvást segítő folyamatos elhalványulás és a folyamatos vagy szakaszos párásítás.
Ha a 280 ml-es víztartály kiürül, a készülék kikapcsol. Párásítási kapacitása 15- 20 ml/h. A kikapcsolás időzítés 1, 3, vagy 8 órás lehet.
Tartozékként szállítjuk a beltéri hálózati adaptert. 
Csepegtessen 100% tisztaságú illóolajat a készülékbe és relaxáljon az AD 280 aroma diffúzorral.</t>
        </is>
      </c>
    </row>
    <row r="2215">
      <c r="A2215" s="6" t="inlineStr">
        <is>
          <t xml:space="preserve">   Fűtés, Párátlanítás, Párásítás / Fűtőszőnyeg</t>
        </is>
      </c>
      <c r="B2215" s="6" t="inlineStr">
        <is>
          <t/>
        </is>
      </c>
      <c r="C2215" s="6" t="inlineStr">
        <is>
          <t/>
        </is>
      </c>
      <c r="D2215" s="6" t="inlineStr">
        <is>
          <t/>
        </is>
      </c>
      <c r="E2215" s="6" t="inlineStr">
        <is>
          <t/>
        </is>
      </c>
      <c r="F2215" s="6" t="inlineStr">
        <is>
          <t/>
        </is>
      </c>
      <c r="G2215" s="6" t="inlineStr">
        <is>
          <t/>
        </is>
      </c>
    </row>
    <row r="2216">
      <c r="A2216" s="3" t="inlineStr">
        <is>
          <t>FHW060</t>
        </is>
      </c>
      <c r="B2216" s="2" t="inlineStr">
        <is>
          <t>HOME FHW060 elektromos fűtőszőnyeg melegburkolat alá, 0,5x12m, 900W, 150W/m2</t>
        </is>
      </c>
      <c r="C2216" s="1" t="n">
        <v>86290.0</v>
      </c>
      <c r="D2216" s="7" t="n">
        <f>HYPERLINK("https://www.somogyi.hu/product/home-fhw060-elektromos-futoszonyeg-melegburkolat-ala-0-5x12m-900w-150w-m2-fhw060-18893","https://www.somogyi.hu/product/home-fhw060-elektromos-futoszonyeg-melegburkolat-ala-0-5x12m-900w-150w-m2-fhw060-18893")</f>
        <v>0.0</v>
      </c>
      <c r="E2216" s="7" t="n">
        <f>HYPERLINK("https://www.somogyi.hu/data/img/product_main_images/small/18893.jpg","https://www.somogyi.hu/data/img/product_main_images/small/18893.jpg")</f>
        <v>0.0</v>
      </c>
      <c r="F2216" s="2" t="inlineStr">
        <is>
          <t>5999084968885</t>
        </is>
      </c>
      <c r="G2216" s="4" t="inlineStr">
        <is>
          <t>Szeretné melegburkolat alá rejtett padlófűtéssel növelni otthona kényelmét és hatékonyságát? A HOME FHW060 elektromos fűtőszőnyeg ideális megoldás melegburkolat alá, biztosítva az egyenletes és kellemes meleget a padlófelületen.
Ez a fűtőszőnyeg kéteres fűtővezetékkel rendelkezik, amely egyoldali elektromos csatlakoztatást tesz lehetővé, így a telepítés egyszerű és gyors. A fűtési teljesítménye 150 W/m², amely garantálja a hatékony fűtést. Az alumínium fólia borítás mindkét oldalon biztosítja a hő egyenletes elosztását és a hatékony hőátadást a padlófelületre. A fűtőszőnyeg rendkívül vékony, mindössze 1,4 mm beépítési vastagsággal rendelkezik, így szinte észrevétlenül telepíthető a burkolat alá. A fűtővezeték-hurkok közötti távolság kb. 5 cm, ami optimális hőelosztást biztosít.
A fűtőszőnyeg csatlakozóvezetéke 2,5 méter hosszú, kéteres + földelés, amely biztonságos és egyszerű csatlakoztatást biztosít. A termék tápellátása 230 V, ami a szabványos hálózati feszültség. A fűtőszőnyeg mérete 0,5 m széles és 12 m hosszú, amely 6 m²-es területet fed le, fűtési összteljesítménye pedig 900 W. A fűtőszőnyeg ellenállása 58,8 Ω.
Fontos megjegyezni, hogy a fűtőszőnyeg nem vágható kisebb méretűre, ezért a tervezés során pontosan mérje fel a szükséges területet. A termék ajánlott vezérlője a Home FHT76WIFI okos termosztát, amely lehetővé teszi a pontos hőmérséklet-szabályozást és a távoli vezérlést. A HOME FHW060 fűtőszőnyeg alkalmas komfort- és önálló fűtésként is, a külső hőmérséklet és a szigetelés függvényében.
A tervezést és a telepítést kizárólag szakember végezheti (burkoló, villanyszerelő), ezzel biztosítva, hogy a rendszer megfelelően és biztonságosan működjön, és megfeleljen a jótállás feltételeinek.
Ne hagyja ki ezt a lehetőséget, hogy otthonában mindig kellemes meleget teremtsen – rendelje meg a HOME FHW060 fűtőszőnyeget még ma, és élvezze a komfortos padlófűtést minden nap!</t>
        </is>
      </c>
    </row>
    <row r="2217">
      <c r="A2217" s="3" t="inlineStr">
        <is>
          <t>FHW010</t>
        </is>
      </c>
      <c r="B2217" s="2" t="inlineStr">
        <is>
          <t>HOME FHW010 elektromos fűtőszőnyeg melegburkolat alá, 0,5x2m, 150W, 150W/m2</t>
        </is>
      </c>
      <c r="C2217" s="1" t="n">
        <v>18190.0</v>
      </c>
      <c r="D2217" s="7" t="n">
        <f>HYPERLINK("https://www.somogyi.hu/product/home-fhw010-elektromos-futoszonyeg-melegburkolat-ala-0-5x2m-150w-150w-m2-fhw010-18886","https://www.somogyi.hu/product/home-fhw010-elektromos-futoszonyeg-melegburkolat-ala-0-5x2m-150w-150w-m2-fhw010-18886")</f>
        <v>0.0</v>
      </c>
      <c r="E2217" s="7" t="n">
        <f>HYPERLINK("https://www.somogyi.hu/data/img/product_main_images/small/18886.jpg","https://www.somogyi.hu/data/img/product_main_images/small/18886.jpg")</f>
        <v>0.0</v>
      </c>
      <c r="F2217" s="2" t="inlineStr">
        <is>
          <t>5999084968816</t>
        </is>
      </c>
      <c r="G2217" s="4" t="inlineStr">
        <is>
          <t>Szeretné melegburkolat alá rejtett padlófűtéssel növelni otthona kényelmét és hatékonyságát? A HOME FHW010 elektromos fűtőszőnyeg ideális megoldás melegburkolat alá, biztosítva az egyenletes és kellemes meleget a padlófelületen.
Ez a fűtőszőnyeg kéteres fűtővezetékkel rendelkezik, amely egyoldali elektromos csatlakoztatást tesz lehetővé, így a telepítés egyszerű és gyors. A fűtési teljesítménye 150 W/m², amely garantálja a hatékony fűtést. Az alumínium fólia borítás mindkét oldalon biztosítja a hő egyenletes elosztását és a hatékony hőátadást a padlófelületre. A fűtőszőnyeg rendkívül vékony, mindössze 1,4 mm beépítési vastagsággal rendelkezik, így szinte észrevétlenül telepíthető a burkolat alá. A fűtővezeték-hurkok közötti távolság kb. 5 cm, ami optimális hőelosztást biztosít.
A fűtőszőnyeg csatlakozóvezetéke 2,5 méter hosszú, kéteres + földelés, amely biztonságos és egyszerű csatlakoztatást biztosít. A termék tápellátása 230 V, ami a szabványos hálózati feszültség. A fűtőszőnyeg mérete 0,5 m széles és 2 m hosszú, amely 1 m²-es területet fed le, fűtési összteljesítménye pedig 150 W. A fűtőszőnyeg ellenállása 352,7 Ω.
Fontos megjegyezni, hogy a fűtőszőnyeg nem vágható kisebb méretűre, ezért a tervezés során pontosan mérje fel a szükséges területet. A termék ajánlott vezérlője a Home FHT76WIFI okos termosztát, amely lehetővé teszi a pontos hőmérséklet-szabályozást és a távoli vezérlést. A HOME FHW010 fűtőszőnyeg alkalmas komfort- és önálló fűtésként is, a külső hőmérséklet és a szigetelés függvényében.
A tervezést és a telepítést kizárólag szakember végezheti (burkoló, villanyszerelő), ezzel biztosítva, hogy a rendszer megfelelően és biztonságosan működjön, és megfeleljen a jótállás feltételeinek.
Ne hagyja ki ezt a lehetőséget, hogy otthonában mindig kellemes meleget teremtsen – rendelje meg a HOME FHW010 fűtőszőnyeget még ma, és élvezze a komfortos padlófűtést minden nap!</t>
        </is>
      </c>
    </row>
    <row r="2218">
      <c r="A2218" s="3" t="inlineStr">
        <is>
          <t>FHC030</t>
        </is>
      </c>
      <c r="B2218" s="2" t="inlineStr">
        <is>
          <t>HOME FHC030 elektromos fűtőszőnyeg hidegburkolat alá, 0,5x6m, 450W, 150W/m2</t>
        </is>
      </c>
      <c r="C2218" s="1" t="n">
        <v>26690.0</v>
      </c>
      <c r="D2218" s="7" t="n">
        <f>HYPERLINK("https://www.somogyi.hu/product/home-fhc030-elektromos-futoszonyeg-hidegburkolat-ala-0-5x6m-450w-150w-m2-fhc030-18874","https://www.somogyi.hu/product/home-fhc030-elektromos-futoszonyeg-hidegburkolat-ala-0-5x6m-450w-150w-m2-fhc030-18874")</f>
        <v>0.0</v>
      </c>
      <c r="E2218" s="7" t="n">
        <f>HYPERLINK("https://www.somogyi.hu/data/img/product_main_images/small/18874.jpg","https://www.somogyi.hu/data/img/product_main_images/small/18874.jpg")</f>
        <v>0.0</v>
      </c>
      <c r="F2218" s="2" t="inlineStr">
        <is>
          <t>5999084968694</t>
        </is>
      </c>
      <c r="G2218" s="4" t="inlineStr">
        <is>
          <t>Szeretne egy hatékony és könnyen telepíthető fűtőszőnyeget hidegburkolat alá, hogy otthonában mindig kellemes meleg legyen? A HOME FHC030 fűtőszőnyeg tökéletes választás, ha hidegburkolat alatti fűtést keres. 
Ez a fűtőszőnyeg kéteres fűtővezetékkel és egyoldali elektromos csatlakoztatással rendelkezik, ami megkönnyíti a telepítést és a bekötést. A szőnyeg fűtési teljesítménye 150 W/m², amely biztosítja a gyors és egyenletes hőelosztást. Az üvegszálas háló öntapadó szalagokkal van ellátva, amelyek egyszerűvé és gyorssá teszik a telepítést. A rendkívül vékony, mindössze 4 mm-es beépítési vastagság biztosítja, hogy a szőnyeg nem emeli meg jelentősen a padlószintet. A fűtővezeték-hurkok közötti távolság kb. 8 cm, ami optimális hőelosztást biztosít a padlófelületen.
A fűtőszőnyeg csatlakozóvezetéke 2,5 méter hosszú kéteres + földelés, amely biztosítja a biztonságos és egyszerű csatlakoztatást. A termék tápellátása 230 V, amely szabványos hálózati feszültség. A fűtőszőnyeg mérete 0,5 m széles és 6 m hosszú, amely 3 m²-es területet fed le, fűtési összteljesítménye pedig 450 W.
Fontos megjegyezni, hogy a fűtőszőnyeg nem vágható kisebb méretűre, ezért a tervezés során pontosan mérje fel a szükséges területet. A termék ajánlott vezérlője a Home FHT76WIFI okos termosztát, amely lehetővé teszi a pontos hőmérséklet-szabályozást és a távoli vezérlést. Az FHC030 fűtőszőnyeg ellenállása 117,6 Ω, és alkalmas komfort és/vagy önálló fűtésként is, a külső hőmérséklet és a szigetelés függvényében. 
A tervezést és a telepítést kizárólag szakember végezheti (burkoló, villanyszerelő), ezzel biztosítva, hogy a rendszer megfelelően és biztonságosan működjön, és megfeleljen a jótállás feltételeinek.
Ne hagyja ki a lehetőséget, hogy otthonában mindig kellemes meleget teremtsen – rendelje meg a HOME FHC030 fűtőszőnyeget még ma, és élvezze a komfortos padlófűtést minden nap!</t>
        </is>
      </c>
    </row>
    <row r="2219">
      <c r="A2219" s="3" t="inlineStr">
        <is>
          <t>FHC120</t>
        </is>
      </c>
      <c r="B2219" s="2" t="inlineStr">
        <is>
          <t>HOME FHC120 elektromos fűtőszőnyeg hidegburkolat alá, 0,5x24m, 1800W, 150W/m2</t>
        </is>
      </c>
      <c r="C2219" s="1" t="n">
        <v>86890.0</v>
      </c>
      <c r="D2219" s="7" t="n">
        <f>HYPERLINK("https://www.somogyi.hu/product/home-fhc120-elektromos-futoszonyeg-hidegburkolat-ala-0-5x24m-1800w-150w-m2-fhc120-18884","https://www.somogyi.hu/product/home-fhc120-elektromos-futoszonyeg-hidegburkolat-ala-0-5x24m-1800w-150w-m2-fhc120-18884")</f>
        <v>0.0</v>
      </c>
      <c r="E2219" s="7" t="n">
        <f>HYPERLINK("https://www.somogyi.hu/data/img/product_main_images/small/18884.jpg","https://www.somogyi.hu/data/img/product_main_images/small/18884.jpg")</f>
        <v>0.0</v>
      </c>
      <c r="F2219" s="2" t="inlineStr">
        <is>
          <t>5999084968793</t>
        </is>
      </c>
      <c r="G2219" s="4" t="inlineStr">
        <is>
          <t>Szeretne egy hatékony és könnyen telepíthető fűtőszőnyeget hidegburkolat alá, hogy otthonában mindig kellemes meleg legyen? A HOME FHC120 fűtőszőnyeg tökéletes választás, ha hidegburkolat alatti fűtést keres. 
Ez a fűtőszőnyeg kéteres fűtővezetékkel és egyoldali elektromos csatlakoztatással rendelkezik, ami megkönnyíti a telepítést és a bekötést. A szőnyeg fűtési teljesítménye 150 W/m², amely biztosítja a gyors és egyenletes hőelosztást. Az üvegszálas háló öntapadó szalagokkal van ellátva, amelyek egyszerűvé és gyorssá teszik a telepítést. A rendkívül vékony, mindössze 4 mm-es beépítési vastagság biztosítja, hogy a szőnyeg nem emeli meg jelentősen a padlószintet. A fűtővezeték-hurkok közötti távolság kb. 8 cm, ami optimális hőelosztást biztosít a padlófelületen.
A fűtőszőnyeg csatlakozóvezetéke 2,5 méter hosszú kéteres + földelés, amely biztosítja a biztonságos és egyszerű csatlakoztatást. A termék tápellátása 230 V, amely szabványos hálózati feszültség. A fűtőszőnyeg mérete 0,5 m széles és 24 m hosszú, amely 12 m²-es területet fed le, fűtési összteljesítménye pedig 1800 W.
Fontos megjegyezni, hogy a fűtőszőnyeg nem vágható kisebb méretűre, ezért a tervezés során pontosan mérje fel a szükséges területet. A termék ajánlott vezérlője a Home FHT76WIFI okos termosztát, amely lehetővé teszi a pontos hőmérséklet-szabályozást és a távoli vezérlést. Az FHC120 fűtőszőnyeg ellenállása 29,4 Ω, és alkalmas komfort és/vagy önálló fűtésként is, a külső hőmérséklet és a szigetelés függvényében. 
A tervezést és a telepítést kizárólag szakember végezheti (burkoló, villanyszerelő), ezzel biztosítva, hogy a rendszer megfelelően és biztonságosan működjön, és megfeleljen a jótállás feltételeinek.
Ne hagyja ki a lehetőséget, hogy otthonában mindig kellemes meleget teremtsen – rendelje meg a HOME FHC120 fűtőszőnyeget még ma, és élvezze a komfortos padlófűtést minden nap!</t>
        </is>
      </c>
    </row>
    <row r="2220">
      <c r="A2220" s="3" t="inlineStr">
        <is>
          <t>FHC110</t>
        </is>
      </c>
      <c r="B2220" s="2" t="inlineStr">
        <is>
          <t>HOME FHC110 elektromos fűtőszőnyeg hidegburkolat alá, 0,5x22m, 1650W, 150W/m2</t>
        </is>
      </c>
      <c r="C2220" s="1" t="n">
        <v>82990.0</v>
      </c>
      <c r="D2220" s="7" t="n">
        <f>HYPERLINK("https://www.somogyi.hu/product/home-fhc110-elektromos-futoszonyeg-hidegburkolat-ala-0-5x22m-1650w-150w-m2-fhc110-18883","https://www.somogyi.hu/product/home-fhc110-elektromos-futoszonyeg-hidegburkolat-ala-0-5x22m-1650w-150w-m2-fhc110-18883")</f>
        <v>0.0</v>
      </c>
      <c r="E2220" s="7" t="n">
        <f>HYPERLINK("https://www.somogyi.hu/data/img/product_main_images/small/18883.jpg","https://www.somogyi.hu/data/img/product_main_images/small/18883.jpg")</f>
        <v>0.0</v>
      </c>
      <c r="F2220" s="2" t="inlineStr">
        <is>
          <t>5999084968786</t>
        </is>
      </c>
      <c r="G2220" s="4" t="inlineStr">
        <is>
          <t>Szeretne egy hatékony és könnyen telepíthető fűtőszőnyeget hidegburkolat alá, hogy otthonában mindig kellemes meleg legyen? A HOME FHC110 fűtőszőnyeg tökéletes választás, ha hidegburkolat alatti fűtést keres. 
Ez a fűtőszőnyeg kéteres fűtővezetékkel és egyoldali elektromos csatlakoztatással rendelkezik, ami megkönnyíti a telepítést és a bekötést. A szőnyeg fűtési teljesítménye 150 W/m², amely biztosítja a gyors és egyenletes hőelosztást. Az üvegszálas háló öntapadó szalagokkal van ellátva, amelyek egyszerűvé és gyorssá teszik a telepítést. A rendkívül vékony, mindössze 4 mm-es beépítési vastagság biztosítja, hogy a szőnyeg nem emeli meg jelentősen a padlószintet. A fűtővezeték-hurkok közötti távolság kb. 8 cm, ami optimális hőelosztást biztosít a padlófelületen.
A fűtőszőnyeg csatlakozóvezetéke 2,5 méter hosszú kéteres + földelés, amely biztosítja a biztonságos és egyszerű csatlakoztatást. A termék tápellátása 230 V, amely szabványos hálózati feszültség. A fűtőszőnyeg mérete 0,5 m széles és 22 m hosszú, amely 11 m²-es területet fed le, fűtési összteljesítménye pedig 1650 W.
Fontos megjegyezni, hogy a fűtőszőnyeg nem vágható kisebb méretűre, ezért a tervezés során pontosan mérje fel a szükséges területet. A termék ajánlott vezérlője a Home FHT76WIFI okos termosztát, amely lehetővé teszi a pontos hőmérséklet-szabályozást és a távoli vezérlést. Az FHC110 fűtőszőnyeg ellenállása 32,1 Ω, és alkalmas komfort és/vagy önálló fűtésként is, a külső hőmérséklet és a szigetelés függvényében. 
A tervezést és a telepítést kizárólag szakember végezheti (burkoló, villanyszerelő), ezzel biztosítva, hogy a rendszer megfelelően és biztonságosan működjön, és megfeleljen a jótállás feltételeinek.
Ne hagyja ki a lehetőséget, hogy otthonában mindig kellemes meleget teremtsen – rendelje meg a HOME FHC110 fűtőszőnyeget még ma, és élvezze a komfortos padlófűtést minden nap!</t>
        </is>
      </c>
    </row>
    <row r="2221">
      <c r="A2221" s="3" t="inlineStr">
        <is>
          <t>FHT76WIFI</t>
        </is>
      </c>
      <c r="B2221" s="2" t="inlineStr">
        <is>
          <t>Home FHT76WIFI okos termosztát elektromos fűtőszőnyeghez, LCD kijelző, heti programozás, padlószenzor</t>
        </is>
      </c>
      <c r="C2221" s="1" t="n">
        <v>20190.0</v>
      </c>
      <c r="D2221" s="7" t="n">
        <f>HYPERLINK("https://www.somogyi.hu/product/home-fht76wifi-okos-termosztat-elektromos-futoszonyeghez-lcd-kijelzo-heti-programozas-padloszenzor-fht76wifi-18885","https://www.somogyi.hu/product/home-fht76wifi-okos-termosztat-elektromos-futoszonyeghez-lcd-kijelzo-heti-programozas-padloszenzor-fht76wifi-18885")</f>
        <v>0.0</v>
      </c>
      <c r="E2221" s="7" t="n">
        <f>HYPERLINK("https://www.somogyi.hu/data/img/product_main_images/small/18885.jpg","https://www.somogyi.hu/data/img/product_main_images/small/18885.jpg")</f>
        <v>0.0</v>
      </c>
      <c r="F2221" s="2" t="inlineStr">
        <is>
          <t>5999084968809</t>
        </is>
      </c>
      <c r="G2221" s="4" t="inlineStr">
        <is>
          <t>Szeretné okosan és kényelmesen vezérelni otthona padlófűtését, miközben energiát takarít meg? A Home FHT76WIFI okos termosztát ideális megoldás elektromos fűtőszőnyegek vezérlésére, különösen ajánlott a Home FHC és Home FHW szériás modellekhez. 
A Tuya Smart alkalmazással könnyedén kezelheti a termosztátot okostelefonján keresztül, így bárhonnan irányíthatja a fűtést. Az LCD kijelző háttérvilágítással rendelkezik, ami egyszerűvé teszi a beállítások elvégzését akár sötétben is. A termosztát képes padlószenzor vagy szobahőmérséklet alapján működni, és a hőmérsékletet 5 és 60 °C között fél fokonként állíthatja be. A mért hőmérsékletek kalibrálhatók, így mindig pontos adatokat kap. Beállítható hiszterézis (0,5 - 10 °C) segítségével optimalizálhatja a fűtési ciklusokat, csökkentve ezzel az energiaköltségeket.
A Home FHT76WIFI termosztát heti programozási lehetőséggel rendelkezik, így előre beállíthatja a fűtési időpontokat a hét minden napjára. Az ablaknyitás-érzékelés funkció automatikusan kikapcsolja a fűtést, ha nyitott ablakot érzékel, ezzel tovább csökkentve az energiafogyasztást. A gyerekzár funkció megakadályozza a véletlen beállításváltoztatásokat, biztosítva a biztonságos használatot. A termosztát kézi vezérléssel vagy program szerinti működéssel is használható, így mindig az Ön igényeihez igazodik. A maximális kapcsolható teljesítmény 3680 W (16 A), ami elegendő a legtöbb háztartási fűtési igény kielégítésére. A készülék tartozéka egy padlószenzor 3 méter hosszú vezetékkel, amely biztosítja a pontos hőmérséklet-mérést a padlófelületen. A Home FHT76WIFI termosztát tápellátása 230 V~/50 Hz, és falon kívüli mérete 86 x 86 x 17 mm, így könnyedén telepíthető bármely helyiségbe.
Ne várjon tovább, tegye otthona fűtését okosabbá és energiatakarékosabbá a Home FHT76WIFI okos termosztáttal – rendelje meg most, és élvezze a kényelmes és hatékony fűtés irányítását minden nap!</t>
        </is>
      </c>
    </row>
    <row r="2222">
      <c r="A2222" s="3" t="inlineStr">
        <is>
          <t>FHC080</t>
        </is>
      </c>
      <c r="B2222" s="2" t="inlineStr">
        <is>
          <t>HOME FHC080 elektromos fűtőszőnyeg hidegburkolat alá, 0,5x16m, 1200W, 150W/m2</t>
        </is>
      </c>
      <c r="C2222" s="1" t="n">
        <v>64190.0</v>
      </c>
      <c r="D2222" s="7" t="n">
        <f>HYPERLINK("https://www.somogyi.hu/product/home-fhc080-elektromos-futoszonyeg-hidegburkolat-ala-0-5x16m-1200w-150w-m2-fhc080-18880","https://www.somogyi.hu/product/home-fhc080-elektromos-futoszonyeg-hidegburkolat-ala-0-5x16m-1200w-150w-m2-fhc080-18880")</f>
        <v>0.0</v>
      </c>
      <c r="E2222" s="7" t="n">
        <f>HYPERLINK("https://www.somogyi.hu/data/img/product_main_images/small/18880.jpg","https://www.somogyi.hu/data/img/product_main_images/small/18880.jpg")</f>
        <v>0.0</v>
      </c>
      <c r="F2222" s="2" t="inlineStr">
        <is>
          <t>5999084968755</t>
        </is>
      </c>
      <c r="G2222" s="4" t="inlineStr">
        <is>
          <t>Szeretne egy hatékony és könnyen telepíthető fűtőszőnyeget hidegburkolat alá, hogy otthonában mindig kellemes meleg legyen? A HOME FHC080 fűtőszőnyeg tökéletes választás, ha hidegburkolat alatti fűtést keres. 
Ez a fűtőszőnyeg kéteres fűtővezetékkel és egyoldali elektromos csatlakoztatással rendelkezik, ami megkönnyíti a telepítést és a bekötést. A szőnyeg fűtési teljesítménye 150 W/m², amely biztosítja a gyors és egyenletes hőelosztást. Az üvegszálas háló öntapadó szalagokkal van ellátva, amelyek egyszerűvé és gyorssá teszik a telepítést. A rendkívül vékony, mindössze 4 mm-es beépítési vastagság biztosítja, hogy a szőnyeg nem emeli meg jelentősen a padlószintet. A fűtővezeték-hurkok közötti távolság kb. 8 cm, ami optimális hőelosztást biztosít a padlófelületen.
A fűtőszőnyeg csatlakozóvezetéke 2,5 méter hosszú kéteres + földelés, amely biztosítja a biztonságos és egyszerű csatlakoztatást. A termék tápellátása 230 V, amely szabványos hálózati feszültség. A fűtőszőnyeg mérete 0,5 m széles és 16 m hosszú, amely 8 m²-es területet fed le, fűtési összteljesítménye pedig 1200 W.
Fontos megjegyezni, hogy a fűtőszőnyeg nem vágható kisebb méretűre, ezért a tervezés során pontosan mérje fel a szükséges területet. A termék ajánlott vezérlője a Home FHT76WIFI okos termosztát, amely lehetővé teszi a pontos hőmérséklet-szabályozást és a távoli vezérlést. Az FHC080 fűtőszőnyeg ellenállása 44,1 Ω, és alkalmas komfort és/vagy önálló fűtésként is, a külső hőmérséklet és a szigetelés függvényében. 
A tervezést és a telepítést kizárólag szakember végezheti (burkoló, villanyszerelő), ezzel biztosítva, hogy a rendszer megfelelően és biztonságosan működjön, és megfeleljen a jótállás feltételeinek.
Ne hagyja ki a lehetőséget, hogy otthonában mindig kellemes meleget teremtsen – rendelje meg a HOME FHC080 fűtőszőnyeget még ma, és élvezze a komfortos padlófűtést minden nap!</t>
        </is>
      </c>
    </row>
    <row r="2223">
      <c r="A2223" s="3" t="inlineStr">
        <is>
          <t>FHC060</t>
        </is>
      </c>
      <c r="B2223" s="2" t="inlineStr">
        <is>
          <t>HOME FHC060 elektromos fűtőszőnyeg hidegburkolat alá, 0,5x12m, 900W, 150W/m2</t>
        </is>
      </c>
      <c r="C2223" s="1" t="n">
        <v>48490.0</v>
      </c>
      <c r="D2223" s="7" t="n">
        <f>HYPERLINK("https://www.somogyi.hu/product/home-fhc060-elektromos-futoszonyeg-hidegburkolat-ala-0-5x12m-900w-150w-m2-fhc060-18878","https://www.somogyi.hu/product/home-fhc060-elektromos-futoszonyeg-hidegburkolat-ala-0-5x12m-900w-150w-m2-fhc060-18878")</f>
        <v>0.0</v>
      </c>
      <c r="E2223" s="7" t="n">
        <f>HYPERLINK("https://www.somogyi.hu/data/img/product_main_images/small/18878.jpg","https://www.somogyi.hu/data/img/product_main_images/small/18878.jpg")</f>
        <v>0.0</v>
      </c>
      <c r="F2223" s="2" t="inlineStr">
        <is>
          <t>5999084968731</t>
        </is>
      </c>
      <c r="G2223" s="4" t="inlineStr">
        <is>
          <t>Szeretne egy hatékony és könnyen telepíthető fűtőszőnyeget hidegburkolat alá, hogy otthonában mindig kellemes meleg legyen? A HOME FHC060 fűtőszőnyeg tökéletes választás, ha hidegburkolat alatti fűtést keres. 
Ez a fűtőszőnyeg kéteres fűtővezetékkel és egyoldali elektromos csatlakoztatással rendelkezik, ami megkönnyíti a telepítést és a bekötést. A szőnyeg fűtési teljesítménye 150 W/m², amely biztosítja a gyors és egyenletes hőelosztást. Az üvegszálas háló öntapadó szalagokkal van ellátva, amelyek egyszerűvé és gyorssá teszik a telepítést. A rendkívül vékony, mindössze 4 mm-es beépítési vastagság biztosítja, hogy a szőnyeg nem emeli meg jelentősen a padlószintet. A fűtővezeték-hurkok közötti távolság kb. 8 cm, ami optimális hőelosztást biztosít a padlófelületen.
A fűtőszőnyeg csatlakozóvezetéke 2,5 méter hosszú kéteres + földelés, amely biztosítja a biztonságos és egyszerű csatlakoztatást. A termék tápellátása 230 V, amely szabványos hálózati feszültség. A fűtőszőnyeg mérete 0,5 m széles és 12 m hosszú, amely 6 m²-es területet fed le, fűtési összteljesítménye pedig 900 W.
Fontos megjegyezni, hogy a fűtőszőnyeg nem vágható kisebb méretűre, ezért a tervezés során pontosan mérje fel a szükséges területet. A termék ajánlott vezérlője a Home FHT76WIFI okos termosztát, amely lehetővé teszi a pontos hőmérséklet-szabályozást és a távoli vezérlést. Az FHC060 fűtőszőnyeg ellenállása 58,8 Ω, és alkalmas komfort és/vagy önálló fűtésként is, a külső hőmérséklet és a szigetelés függvényében. 
A tervezést és a telepítést kizárólag szakember végezheti (burkoló, villanyszerelő), ezzel biztosítva, hogy a rendszer megfelelően és biztonságosan működjön, és megfeleljen a jótállás feltételeinek.
Ne hagyja ki a lehetőséget, hogy otthonában mindig kellemes meleget teremtsen – rendelje meg a HOME FHC060 fűtőszőnyeget még ma, és élvezze a komfortos padlófűtést minden nap!</t>
        </is>
      </c>
    </row>
    <row r="2224">
      <c r="A2224" s="3" t="inlineStr">
        <is>
          <t>FHC050</t>
        </is>
      </c>
      <c r="B2224" s="2" t="inlineStr">
        <is>
          <t>HOME FHC050 elektromos fűtőszőnyeg hidegburkolat alá, 0,5x10m, 750W, 150W/m2</t>
        </is>
      </c>
      <c r="C2224" s="1" t="n">
        <v>44990.0</v>
      </c>
      <c r="D2224" s="7" t="n">
        <f>HYPERLINK("https://www.somogyi.hu/product/home-fhc050-elektromos-futoszonyeg-hidegburkolat-ala-0-5x10m-750w-150w-m2-fhc050-18877","https://www.somogyi.hu/product/home-fhc050-elektromos-futoszonyeg-hidegburkolat-ala-0-5x10m-750w-150w-m2-fhc050-18877")</f>
        <v>0.0</v>
      </c>
      <c r="E2224" s="7" t="n">
        <f>HYPERLINK("https://www.somogyi.hu/data/img/product_main_images/small/18877.jpg","https://www.somogyi.hu/data/img/product_main_images/small/18877.jpg")</f>
        <v>0.0</v>
      </c>
      <c r="F2224" s="2" t="inlineStr">
        <is>
          <t>5999084968724</t>
        </is>
      </c>
      <c r="G2224" s="4" t="inlineStr">
        <is>
          <t>Szeretne egy hatékony és könnyen telepíthető fűtőszőnyeget hidegburkolat alá, hogy otthonában mindig kellemes meleg legyen? A HOME FHC050 fűtőszőnyeg tökéletes választás, ha hidegburkolat alatti fűtést keres. 
Ez a fűtőszőnyeg kéteres fűtővezetékkel és egyoldali elektromos csatlakoztatással rendelkezik, ami megkönnyíti a telepítést és a bekötést. A szőnyeg fűtési teljesítménye 150 W/m², amely biztosítja a gyors és egyenletes hőelosztást. Az üvegszálas háló öntapadó szalagokkal van ellátva, amelyek egyszerűvé és gyorssá teszik a telepítést. A rendkívül vékony, mindössze 4 mm-es beépítési vastagság biztosítja, hogy a szőnyeg nem emeli meg jelentősen a padlószintet. A fűtővezeték-hurkok közötti távolság kb. 8 cm, ami optimális hőelosztást biztosít a padlófelületen.
A fűtőszőnyeg csatlakozóvezetéke 2,5 méter hosszú kéteres + földelés, amely biztosítja a biztonságos és egyszerű csatlakoztatást. A termék tápellátása 230 V, amely szabványos hálózati feszültség. A fűtőszőnyeg mérete 0,5 m széles és 10 m hosszú, amely 5 m²-es területet fed le, fűtési összteljesítménye pedig 750 W.
Fontos megjegyezni, hogy a fűtőszőnyeg nem vágható kisebb méretűre, ezért a tervezés során pontosan mérje fel a szükséges területet. A termék ajánlott vezérlője a Home FHT76WIFI okos termosztát, amely lehetővé teszi a pontos hőmérséklet-szabályozást és a távoli vezérlést. Az FHC050 fűtőszőnyeg ellenállása 70,5 Ω, és alkalmas komfort és/vagy önálló fűtésként is, a külső hőmérséklet és a szigetelés függvényében. 
A tervezést és a telepítést kizárólag szakember végezheti (burkoló, villanyszerelő), ezzel biztosítva, hogy a rendszer megfelelően és biztonságosan működjön, és megfeleljen a jótállás feltételeinek.
Ne hagyja ki a lehetőséget, hogy otthonában mindig kellemes meleget teremtsen – rendelje meg a HOME FHC050 fűtőszőnyeget még ma, és élvezze a komfortos padlófűtést minden nap!</t>
        </is>
      </c>
    </row>
    <row r="2225">
      <c r="A2225" s="3" t="inlineStr">
        <is>
          <t>FHC010</t>
        </is>
      </c>
      <c r="B2225" s="2" t="inlineStr">
        <is>
          <t>HOME FHC010 elektromos fűtőszőnyeg hidegburkolat alá, 0,5x2m, 150W, 150W/m2</t>
        </is>
      </c>
      <c r="C2225" s="1" t="n">
        <v>14190.0</v>
      </c>
      <c r="D2225" s="7" t="n">
        <f>HYPERLINK("https://www.somogyi.hu/product/home-fhc010-elektromos-futoszonyeg-hidegburkolat-ala-0-5x2m-150w-150w-m2-fhc010-18870","https://www.somogyi.hu/product/home-fhc010-elektromos-futoszonyeg-hidegburkolat-ala-0-5x2m-150w-150w-m2-fhc010-18870")</f>
        <v>0.0</v>
      </c>
      <c r="E2225" s="7" t="n">
        <f>HYPERLINK("https://www.somogyi.hu/data/img/product_main_images/small/18870.jpg","https://www.somogyi.hu/data/img/product_main_images/small/18870.jpg")</f>
        <v>0.0</v>
      </c>
      <c r="F2225" s="2" t="inlineStr">
        <is>
          <t>5999084968656</t>
        </is>
      </c>
      <c r="G2225" s="4" t="inlineStr">
        <is>
          <t>Szeretne egy hatékony és könnyen telepíthető fűtőszőnyeget hidegburkolat alá, hogy otthonában mindig kellemes meleg legyen? A HOME FHC010 fűtőszőnyeg tökéletes választás, ha hidegburkolat alatti fűtést keres. 
Ez a fűtőszőnyeg kéteres fűtővezetékkel és egyoldali elektromos csatlakoztatással rendelkezik, ami megkönnyíti a telepítést és a bekötést. A szőnyeg fűtési teljesítménye 150 W/m², amely biztosítja a gyors és egyenletes hőelosztást. Az üvegszálas háló öntapadó szalagokkal van ellátva, amelyek egyszerűvé és gyorssá teszik a telepítést. A rendkívül vékony, mindössze 4 mm-es beépítési vastagság biztosítja, hogy a szőnyeg nem emeli meg jelentősen a padlószintet. A fűtővezeték-hurkok közötti távolság kb. 8 cm, ami optimális hőelosztást biztosít a padlófelületen.
A fűtőszőnyeg csatlakozóvezetéke 2,5 méter hosszú kéteres + földelés, amely biztosítja a biztonságos és egyszerű csatlakoztatást. A termék tápellátása 230 V, amely szabványos hálózati feszültség. A fűtőszőnyeg mérete 0,5 m széles és 2 m hosszú, amely 1 m²-es területet fed le, fűtési összteljesítménye pedig 150 W.
Fontos megjegyezni, hogy a fűtőszőnyeg nem vágható kisebb méretűre, ezért a tervezés során pontosan mérje fel a szükséges területet. A termék ajánlott vezérlője a Home FHT76WIFI okos termosztát, amely lehetővé teszi a pontos hőmérséklet-szabályozást és a távoli vezérlést. Az FHC010 fűtőszőnyeg ellenállása 352,7 Ω, és alkalmas komfort és/vagy önálló fűtésként is, a külső hőmérséklet és a szigetelés függvényében. 
A tervezést és a telepítést kizárólag szakember végezheti (burkoló, villanyszerelő), ezzel biztosítva, hogy a rendszer megfelelően és biztonságosan működjön, és megfeleljen a jótállás feltételeinek.
Ne hagyja ki a lehetőséget, hogy otthonában mindig kellemes meleget teremtsen – rendelje meg a HOME FHC010 fűtőszőnyeget még ma, és élvezze a komfortos padlófűtést minden nap!</t>
        </is>
      </c>
    </row>
    <row r="2226">
      <c r="A2226" s="3" t="inlineStr">
        <is>
          <t>FHC005</t>
        </is>
      </c>
      <c r="B2226" s="2" t="inlineStr">
        <is>
          <t>HOME FHC005 elektromos fűtőszőnyeg hidegburkolat alá, 0,5x1m, 75W, 150W/m2</t>
        </is>
      </c>
      <c r="C2226" s="1" t="n">
        <v>10190.0</v>
      </c>
      <c r="D2226" s="7" t="n">
        <f>HYPERLINK("https://www.somogyi.hu/product/home-fhc005-elektromos-futoszonyeg-hidegburkolat-ala-0-5x1m-75w-150w-m2-fhc005-18869","https://www.somogyi.hu/product/home-fhc005-elektromos-futoszonyeg-hidegburkolat-ala-0-5x1m-75w-150w-m2-fhc005-18869")</f>
        <v>0.0</v>
      </c>
      <c r="E2226" s="7" t="n">
        <f>HYPERLINK("https://www.somogyi.hu/data/img/product_main_images/small/18869.jpg","https://www.somogyi.hu/data/img/product_main_images/small/18869.jpg")</f>
        <v>0.0</v>
      </c>
      <c r="F2226" s="2" t="inlineStr">
        <is>
          <t>5999084968649</t>
        </is>
      </c>
      <c r="G2226" s="4" t="inlineStr">
        <is>
          <t>Szeretne egy hatékony és könnyen telepíthető fűtőszőnyeget hidegburkolat alá, hogy otthonában mindig kellemes meleg legyen? A HOME FHC005 fűtőszőnyeg tökéletes választás, ha hidegburkolat alatti fűtést keres. 
Ez a fűtőszőnyeg kéteres fűtővezetékkel és egyoldali elektromos csatlakoztatással rendelkezik, ami megkönnyíti a telepítést és a bekötést. A szőnyeg fűtési teljesítménye 150 W/m², amely biztosítja a gyors és egyenletes hőelosztást. Az üvegszálas háló öntapadó szalagokkal van ellátva, amelyek egyszerűvé és gyorssá teszik a telepítést. A rendkívül vékony, mindössze 4 mm-es beépítési vastagság biztosítja, hogy a szőnyeg nem emeli meg jelentősen a padlószintet. A fűtővezeték-hurkok közötti távolság kb. 8 cm, ami optimális hőelosztást biztosít a padlófelületen.
A fűtőszőnyeg csatlakozóvezetéke 2,5 méter hosszú kéteres + földelés, amely biztosítja a biztonságos és egyszerű csatlakoztatást. A termék tápellátása 230 V, amely szabványos hálózati feszültség. A fűtőszőnyeg mérete 0,5 m széles és 1 m hosszú, amely 0,5 m²-es területet fed le, fűtési összteljesítménye pedig 75 W.
Fontos megjegyezni, hogy a fűtőszőnyeg nem vágható kisebb méretűre, ezért a tervezés során pontosan mérje fel a szükséges területet. A termék ajánlott vezérlője a Home FHT76WIFI okos termosztát, amely lehetővé teszi a pontos hőmérséklet-szabályozást és a távoli vezérlést. Az FHC005 fűtőszőnyeg ellenállása 705,3 Ω, és alkalmas komfort és/vagy önálló fűtésként is, a külső hőmérséklet és a szigetelés függvényében. 
A tervezést és a telepítést kizárólag szakember végezheti (burkoló, villanyszerelő), ezzel biztosítva, hogy a rendszer megfelelően és biztonságosan működjön, és megfeleljen a jótállás feltételeinek.
Ne hagyja ki a lehetőséget, hogy otthonában mindig kellemes meleget teremtsen – rendelje meg a HOME FHC005 fűtőszőnyeget még ma, és élvezze a komfortos padlófűtést minden nap!</t>
        </is>
      </c>
    </row>
    <row r="2227">
      <c r="A2227" s="3" t="inlineStr">
        <is>
          <t>FHW100</t>
        </is>
      </c>
      <c r="B2227" s="2" t="inlineStr">
        <is>
          <t>HOME FHW100 elektromos fűtőszőnyeg melegburkolat alá, 0,5x20m, 1500W, 150W/m2</t>
        </is>
      </c>
      <c r="C2227" s="1" t="n">
        <v>135990.0</v>
      </c>
      <c r="D2227" s="7" t="n">
        <f>HYPERLINK("https://www.somogyi.hu/product/home-fhw100-elektromos-futoszonyeg-melegburkolat-ala-0-5x20m-1500w-150w-m2-fhw100-18897","https://www.somogyi.hu/product/home-fhw100-elektromos-futoszonyeg-melegburkolat-ala-0-5x20m-1500w-150w-m2-fhw100-18897")</f>
        <v>0.0</v>
      </c>
      <c r="E2227" s="7" t="n">
        <f>HYPERLINK("https://www.somogyi.hu/data/img/product_main_images/small/18897.jpg","https://www.somogyi.hu/data/img/product_main_images/small/18897.jpg")</f>
        <v>0.0</v>
      </c>
      <c r="F2227" s="2" t="inlineStr">
        <is>
          <t>5999084968922</t>
        </is>
      </c>
      <c r="G2227" s="4" t="inlineStr">
        <is>
          <t>Szeretné melegburkolat alá rejtett padlófűtéssel növelni otthona kényelmét és hatékonyságát? A HOME FHW100 elektromos fűtőszőnyeg ideális megoldás melegburkolat alá, biztosítva az egyenletes és kellemes meleget a padlófelületen.
Ez a fűtőszőnyeg kéteres fűtővezetékkel rendelkezik, amely egyoldali elektromos csatlakoztatást tesz lehetővé, így a telepítés egyszerű és gyors. A fűtési teljesítménye 150 W/m², amely garantálja a hatékony fűtést. Az alumínium fólia borítás mindkét oldalon biztosítja a hő egyenletes elosztását és a hatékony hőátadást a padlófelületre. A fűtőszőnyeg rendkívül vékony, mindössze 1,4 mm beépítési vastagsággal rendelkezik, így szinte észrevétlenül telepíthető a burkolat alá. A fűtővezeték-hurkok közötti távolság kb. 5 cm, ami optimális hőelosztást biztosít.
A fűtőszőnyeg csatlakozóvezetéke 2,5 méter hosszú, kéteres + földelés, amely biztonságos és egyszerű csatlakoztatást biztosít. A termék tápellátása 230 V, ami a szabványos hálózati feszültség. A fűtőszőnyeg mérete 0,5 m széles és 20 m hosszú, amely 10 m²-es területet fed le, fűtési összteljesítménye pedig 1500 W. A fűtőszőnyeg ellenállása 35,3 Ω.
Fontos megjegyezni, hogy a fűtőszőnyeg nem vágható kisebb méretűre, ezért a tervezés során pontosan mérje fel a szükséges területet. A termék ajánlott vezérlője a Home FHT76WIFI okos termosztát, amely lehetővé teszi a pontos hőmérséklet-szabályozást és a távoli vezérlést. A HOME FHW100 fűtőszőnyeg alkalmas komfort- és önálló fűtésként is, a külső hőmérséklet és a szigetelés függvényében.
A tervezést és a telepítést kizárólag szakember végezheti (burkoló, villanyszerelő), ezzel biztosítva, hogy a rendszer megfelelően és biztonságosan működjön, és megfeleljen a jótállás feltételeinek.
Ne hagyja ki ezt a lehetőséget, hogy otthonában mindig kellemes meleget teremtsen – rendelje meg a HOME FHW100 fűtőszőnyeget még ma, és élvezze a komfortos padlófűtést minden nap!</t>
        </is>
      </c>
    </row>
    <row r="2228">
      <c r="A2228" s="3" t="inlineStr">
        <is>
          <t>FHW040</t>
        </is>
      </c>
      <c r="B2228" s="2" t="inlineStr">
        <is>
          <t>HOME FHW040 elektromos fűtőszőnyeg melegburkolat alá, 0,5x8m, 600W, 150W/m2</t>
        </is>
      </c>
      <c r="C2228" s="1" t="n">
        <v>52490.0</v>
      </c>
      <c r="D2228" s="7" t="n">
        <f>HYPERLINK("https://www.somogyi.hu/product/home-fhw040-elektromos-futoszonyeg-melegburkolat-ala-0-5x8m-600w-150w-m2-fhw040-18891","https://www.somogyi.hu/product/home-fhw040-elektromos-futoszonyeg-melegburkolat-ala-0-5x8m-600w-150w-m2-fhw040-18891")</f>
        <v>0.0</v>
      </c>
      <c r="E2228" s="7" t="n">
        <f>HYPERLINK("https://www.somogyi.hu/data/img/product_main_images/small/18891.jpg","https://www.somogyi.hu/data/img/product_main_images/small/18891.jpg")</f>
        <v>0.0</v>
      </c>
      <c r="F2228" s="2" t="inlineStr">
        <is>
          <t>5999084968861</t>
        </is>
      </c>
      <c r="G2228" s="4" t="inlineStr">
        <is>
          <t>Szeretné melegburkolat alá rejtett padlófűtéssel növelni otthona kényelmét és hatékonyságát? A HOME FHW040 elektromos fűtőszőnyeg ideális megoldás melegburkolat alá, biztosítva az egyenletes és kellemes meleget a padlófelületen.
Ez a fűtőszőnyeg kéteres fűtővezetékkel rendelkezik, amely egyoldali elektromos csatlakoztatást tesz lehetővé, így a telepítés egyszerű és gyors. A fűtési teljesítménye 150 W/m², amely garantálja a hatékony fűtést. Az alumínium fólia borítás mindkét oldalon biztosítja a hő egyenletes elosztását és a hatékony hőátadást a padlófelületre. A fűtőszőnyeg rendkívül vékony, mindössze 1,4 mm beépítési vastagsággal rendelkezik, így szinte észrevétlenül telepíthető a burkolat alá. A fűtővezeték-hurkok közötti távolság kb. 5 cm, ami optimális hőelosztást biztosít.
A fűtőszőnyeg csatlakozóvezetéke 2,5 méter hosszú, kéteres + földelés, amely biztonságos és egyszerű csatlakoztatást biztosít. A termék tápellátása 230 V, ami a szabványos hálózati feszültség. A fűtőszőnyeg mérete 0,5 m széles és 8 m hosszú, amely 4 m²-es területet fed le, fűtési összteljesítménye pedig 600 W. A fűtőszőnyeg ellenállása 88,2 Ω.
Fontos megjegyezni, hogy a fűtőszőnyeg nem vágható kisebb méretűre, ezért a tervezés során pontosan mérje fel a szükséges területet. A termék ajánlott vezérlője a Home FHT76WIFI okos termosztát, amely lehetővé teszi a pontos hőmérséklet-szabályozást és a távoli vezérlést. A HOME FHW040 fűtőszőnyeg alkalmas komfort- és önálló fűtésként is, a külső hőmérséklet és a szigetelés függvényében.
A tervezést és a telepítést kizárólag szakember végezheti (burkoló, villanyszerelő), ezzel biztosítva, hogy a rendszer megfelelően és biztonságosan működjön, és megfeleljen a jótállás feltételeinek.
Ne hagyja ki ezt a lehetőséget, hogy otthonában mindig kellemes meleget teremtsen – rendelje meg a HOME FHW040 fűtőszőnyeget még ma, és élvezze a komfortos padlófűtést minden nap!</t>
        </is>
      </c>
    </row>
    <row r="2229">
      <c r="A2229" s="3" t="inlineStr">
        <is>
          <t>FHC040</t>
        </is>
      </c>
      <c r="B2229" s="2" t="inlineStr">
        <is>
          <t>HOME FHC040 elektromos fűtőszőnyeg hidegburkolat alá, 0,5x8m, 600W, 150W/m2</t>
        </is>
      </c>
      <c r="C2229" s="1" t="n">
        <v>35390.0</v>
      </c>
      <c r="D2229" s="7" t="n">
        <f>HYPERLINK("https://www.somogyi.hu/product/home-fhc040-elektromos-futoszonyeg-hidegburkolat-ala-0-5x8m-600w-150w-m2-fhc040-18876","https://www.somogyi.hu/product/home-fhc040-elektromos-futoszonyeg-hidegburkolat-ala-0-5x8m-600w-150w-m2-fhc040-18876")</f>
        <v>0.0</v>
      </c>
      <c r="E2229" s="7" t="n">
        <f>HYPERLINK("https://www.somogyi.hu/data/img/product_main_images/small/18876.jpg","https://www.somogyi.hu/data/img/product_main_images/small/18876.jpg")</f>
        <v>0.0</v>
      </c>
      <c r="F2229" s="2" t="inlineStr">
        <is>
          <t>5999084968717</t>
        </is>
      </c>
      <c r="G2229" s="4" t="inlineStr">
        <is>
          <t>Szeretne egy hatékony és könnyen telepíthető fűtőszőnyeget hidegburkolat alá, hogy otthonában mindig kellemes meleg legyen? A HOME FHC040 fűtőszőnyeg tökéletes választás, ha hidegburkolat alatti fűtést keres. 
Ez a fűtőszőnyeg kéteres fűtővezetékkel és egyoldali elektromos csatlakoztatással rendelkezik, ami megkönnyíti a telepítést és a bekötést. A szőnyeg fűtési teljesítménye 150 W/m², amely biztosítja a gyors és egyenletes hőelosztást. Az üvegszálas háló öntapadó szalagokkal van ellátva, amelyek egyszerűvé és gyorssá teszik a telepítést. A rendkívül vékony, mindössze 4 mm-es beépítési vastagság biztosítja, hogy a szőnyeg nem emeli meg jelentősen a padlószintet. A fűtővezeték-hurkok közötti távolság kb. 8 cm, ami optimális hőelosztást biztosít a padlófelületen.
A fűtőszőnyeg csatlakozóvezetéke 2,5 méter hosszú kéteres + földelés, amely biztosítja a biztonságos és egyszerű csatlakoztatást. A termék tápellátása 230 V, amely szabványos hálózati feszültség. A fűtőszőnyeg mérete 0,5 m széles és 8 m hosszú, amely 4 m²-es területet fed le, fűtési összteljesítménye pedig 600 W.
Fontos megjegyezni, hogy a fűtőszőnyeg nem vágható kisebb méretűre, ezért a tervezés során pontosan mérje fel a szükséges területet. A termék ajánlott vezérlője a Home FHT76WIFI okos termosztát, amely lehetővé teszi a pontos hőmérséklet-szabályozást és a távoli vezérlést. Az FHC040 fűtőszőnyeg ellenállása 88,2 Ω, és alkalmas komfort és/vagy önálló fűtésként is, a külső hőmérséklet és a szigetelés függvényében. 
A tervezést és a telepítést kizárólag szakember végezheti (burkoló, villanyszerelő), ezzel biztosítva, hogy a rendszer megfelelően és biztonságosan működjön, és megfeleljen a jótállás feltételeinek.
Ne hagyja ki a lehetőséget, hogy otthonában mindig kellemes meleget teremtsen – rendelje meg a HOME FHC040 fűtőszőnyeget még ma, és élvezze a komfortos padlófűtést minden nap!</t>
        </is>
      </c>
    </row>
    <row r="2230">
      <c r="A2230" s="3" t="inlineStr">
        <is>
          <t>FHW120</t>
        </is>
      </c>
      <c r="B2230" s="2" t="inlineStr">
        <is>
          <t>HOME FHW120 elektromos fűtőszőnyeg melegburkolat alá, 0,5x24m, 1800W, 150W/m2</t>
        </is>
      </c>
      <c r="C2230" s="1" t="n">
        <v>177990.0</v>
      </c>
      <c r="D2230" s="7" t="n">
        <f>HYPERLINK("https://www.somogyi.hu/product/home-fhw120-elektromos-futoszonyeg-melegburkolat-ala-0-5x24m-1800w-150w-m2-fhw120-18898","https://www.somogyi.hu/product/home-fhw120-elektromos-futoszonyeg-melegburkolat-ala-0-5x24m-1800w-150w-m2-fhw120-18898")</f>
        <v>0.0</v>
      </c>
      <c r="E2230" s="7" t="n">
        <f>HYPERLINK("https://www.somogyi.hu/data/img/product_main_images/small/18898.jpg","https://www.somogyi.hu/data/img/product_main_images/small/18898.jpg")</f>
        <v>0.0</v>
      </c>
      <c r="F2230" s="2" t="inlineStr">
        <is>
          <t>5999084968939</t>
        </is>
      </c>
      <c r="G2230" s="4" t="inlineStr">
        <is>
          <t>Szeretné melegburkolat alá rejtett padlófűtéssel növelni otthona kényelmét és hatékonyságát? A HOME FHW120 elektromos fűtőszőnyeg ideális megoldás melegburkolat alá, biztosítva az egyenletes és kellemes meleget a padlófelületen.
Ez a fűtőszőnyeg kéteres fűtővezetékkel rendelkezik, amely egyoldali elektromos csatlakoztatást tesz lehetővé, így a telepítés egyszerű és gyors. A fűtési teljesítménye 150 W/m², amely garantálja a hatékony fűtést. Az alumínium fólia borítás mindkét oldalon biztosítja a hő egyenletes elosztását és a hatékony hőátadást a padlófelületre. A fűtőszőnyeg rendkívül vékony, mindössze 1,4 mm beépítési vastagsággal rendelkezik, így szinte észrevétlenül telepíthető a burkolat alá. A fűtővezeték-hurkok közötti távolság kb. 5 cm, ami optimális hőelosztást biztosít.
A fűtőszőnyeg csatlakozóvezetéke 2,5 méter hosszú, kéteres + földelés, amely biztonságos és egyszerű csatlakoztatást biztosít. A termék tápellátása 230 V, ami a szabványos hálózati feszültség. A fűtőszőnyeg mérete 0,5 m széles és 24 m hosszú, amely 12 m²-es területet fed le, fűtési összteljesítménye pedig 1800 W. A fűtőszőnyeg ellenállása 29,4 Ω.
Fontos megjegyezni, hogy a fűtőszőnyeg nem vágható kisebb méretűre, ezért a tervezés során pontosan mérje fel a szükséges területet. A termék ajánlott vezérlője a Home FHT76WIFI okos termosztát, amely lehetővé teszi a pontos hőmérséklet-szabályozást és a távoli vezérlést. A HOME FHW120 fűtőszőnyeg alkalmas komfort- és önálló fűtésként is, a külső hőmérséklet és a szigetelés függvényében.
A tervezést és a telepítést kizárólag szakember végezheti (burkoló, villanyszerelő), ezzel biztosítva, hogy a rendszer megfelelően és biztonságosan működjön, és megfeleljen a jótállás feltételeinek.
Ne hagyja ki ezt a lehetőséget, hogy otthonában mindig kellemes meleget teremtsen – rendelje meg a HOME FHW120 fűtőszőnyeget még ma, és élvezze a komfortos padlófűtést minden nap!</t>
        </is>
      </c>
    </row>
    <row r="2231">
      <c r="A2231" s="3" t="inlineStr">
        <is>
          <t>FHW080</t>
        </is>
      </c>
      <c r="B2231" s="2" t="inlineStr">
        <is>
          <t>HOME FHW080 elektromos fűtőszőnyeg melegburkolat alá, 0,5x16m, 1200W, 150W/m2</t>
        </is>
      </c>
      <c r="C2231" s="1" t="n">
        <v>99890.0</v>
      </c>
      <c r="D2231" s="7" t="n">
        <f>HYPERLINK("https://www.somogyi.hu/product/home-fhw080-elektromos-futoszonyeg-melegburkolat-ala-0-5x16m-1200w-150w-m2-fhw080-18895","https://www.somogyi.hu/product/home-fhw080-elektromos-futoszonyeg-melegburkolat-ala-0-5x16m-1200w-150w-m2-fhw080-18895")</f>
        <v>0.0</v>
      </c>
      <c r="E2231" s="7" t="n">
        <f>HYPERLINK("https://www.somogyi.hu/data/img/product_main_images/small/18895.jpg","https://www.somogyi.hu/data/img/product_main_images/small/18895.jpg")</f>
        <v>0.0</v>
      </c>
      <c r="F2231" s="2" t="inlineStr">
        <is>
          <t>5999084968908</t>
        </is>
      </c>
      <c r="G2231" s="4" t="inlineStr">
        <is>
          <t>Szeretné melegburkolat alá rejtett padlófűtéssel növelni otthona kényelmét és hatékonyságát? A HOME FHW080 elektromos fűtőszőnyeg ideális megoldás melegburkolat alá, biztosítva az egyenletes és kellemes meleget a padlófelületen.
Ez a fűtőszőnyeg kéteres fűtővezetékkel rendelkezik, amely egyoldali elektromos csatlakoztatást tesz lehetővé, így a telepítés egyszerű és gyors. A fűtési teljesítménye 150 W/m², amely garantálja a hatékony fűtést. Az alumínium fólia borítás mindkét oldalon biztosítja a hő egyenletes elosztását és a hatékony hőátadást a padlófelületre. A fűtőszőnyeg rendkívül vékony, mindössze 1,4 mm beépítési vastagsággal rendelkezik, így szinte észrevétlenül telepíthető a burkolat alá. A fűtővezeték-hurkok közötti távolság kb. 5 cm, ami optimális hőelosztást biztosít.
A fűtőszőnyeg csatlakozóvezetéke 2,5 méter hosszú, kéteres + földelés, amely biztonságos és egyszerű csatlakoztatást biztosít. A termék tápellátása 230 V, ami a szabványos hálózati feszültség. A fűtőszőnyeg mérete 0,5 m széles és 16 m hosszú, amely 8 m²-es területet fed le, fűtési összteljesítménye pedig 1200 W. A fűtőszőnyeg ellenállása 44,1 Ω.
Fontos megjegyezni, hogy a fűtőszőnyeg nem vágható kisebb méretűre, ezért a tervezés során pontosan mérje fel a szükséges területet. A termék ajánlott vezérlője a Home FHT76WIFI okos termosztát, amely lehetővé teszi a pontos hőmérséklet-szabályozást és a távoli vezérlést. A HOME FHW080 fűtőszőnyeg alkalmas komfort- és önálló fűtésként is, a külső hőmérséklet és a szigetelés függvényében.
A tervezést és a telepítést kizárólag szakember végezheti (burkoló, villanyszerelő), ezzel biztosítva, hogy a rendszer megfelelően és biztonságosan működjön, és megfeleljen a jótállás feltételeinek.
Ne hagyja ki ezt a lehetőséget, hogy otthonában mindig kellemes meleget teremtsen – rendelje meg a HOME FHW080 fűtőszőnyeget még ma, és élvezze a komfortos padlófűtést minden nap!</t>
        </is>
      </c>
    </row>
    <row r="2232">
      <c r="A2232" s="3" t="inlineStr">
        <is>
          <t>FHW070</t>
        </is>
      </c>
      <c r="B2232" s="2" t="inlineStr">
        <is>
          <t>HOME FHW070 elektromos fűtőszőnyeg melegburkolat alá, 0,5x14m, 1050W, 150W/m2</t>
        </is>
      </c>
      <c r="C2232" s="1" t="n">
        <v>94790.0</v>
      </c>
      <c r="D2232" s="7" t="n">
        <f>HYPERLINK("https://www.somogyi.hu/product/home-fhw070-elektromos-futoszonyeg-melegburkolat-ala-0-5x14m-1050w-150w-m2-fhw070-18894","https://www.somogyi.hu/product/home-fhw070-elektromos-futoszonyeg-melegburkolat-ala-0-5x14m-1050w-150w-m2-fhw070-18894")</f>
        <v>0.0</v>
      </c>
      <c r="E2232" s="7" t="n">
        <f>HYPERLINK("https://www.somogyi.hu/data/img/product_main_images/small/18894.jpg","https://www.somogyi.hu/data/img/product_main_images/small/18894.jpg")</f>
        <v>0.0</v>
      </c>
      <c r="F2232" s="2" t="inlineStr">
        <is>
          <t>5999084968892</t>
        </is>
      </c>
      <c r="G2232" s="4" t="inlineStr">
        <is>
          <t>Szeretné melegburkolat alá rejtett padlófűtéssel növelni otthona kényelmét és hatékonyságát? A HOME FHW070 elektromos fűtőszőnyeg ideális megoldás melegburkolat alá, biztosítva az egyenletes és kellemes meleget a padlófelületen.
Ez a fűtőszőnyeg kéteres fűtővezetékkel rendelkezik, amely egyoldali elektromos csatlakoztatást tesz lehetővé, így a telepítés egyszerű és gyors. A fűtési teljesítménye 150 W/m², amely garantálja a hatékony fűtést. Az alumínium fólia borítás mindkét oldalon biztosítja a hő egyenletes elosztását és a hatékony hőátadást a padlófelületre. A fűtőszőnyeg rendkívül vékony, mindössze 1,4 mm beépítési vastagsággal rendelkezik, így szinte észrevétlenül telepíthető a burkolat alá. A fűtővezeték-hurkok közötti távolság kb. 5 cm, ami optimális hőelosztást biztosít.
A fűtőszőnyeg csatlakozóvezetéke 2,5 méter hosszú, kéteres + földelés, amely biztonságos és egyszerű csatlakoztatást biztosít. A termék tápellátása 230 V, ami a szabványos hálózati feszültség. A fűtőszőnyeg mérete 0,5 m széles és 14 m hosszú, amely 7 m²-es területet fed le, fűtési összteljesítménye pedig 1050 W. A fűtőszőnyeg ellenállása 50,4 Ω.
Fontos megjegyezni, hogy a fűtőszőnyeg nem vágható kisebb méretűre, ezért a tervezés során pontosan mérje fel a szükséges területet. A termék ajánlott vezérlője a Home FHT76WIFI okos termosztát, amely lehetővé teszi a pontos hőmérséklet-szabályozást és a távoli vezérlést. A HOME FHW070 fűtőszőnyeg alkalmas komfort- és önálló fűtésként is, a külső hőmérséklet és a szigetelés függvényében.
A tervezést és a telepítést kizárólag szakember végezheti (burkoló, villanyszerelő), ezzel biztosítva, hogy a rendszer megfelelően és biztonságosan működjön, és megfeleljen a jótállás feltételeinek.
Ne hagyja ki ezt a lehetőséget, hogy otthonában mindig kellemes meleget teremtsen – rendelje meg a HOME FHW070 fűtőszőnyeget még ma, és élvezze a komfortos padlófűtést minden nap!</t>
        </is>
      </c>
    </row>
    <row r="2233">
      <c r="A2233" s="3" t="inlineStr">
        <is>
          <t>FHC035</t>
        </is>
      </c>
      <c r="B2233" s="2" t="inlineStr">
        <is>
          <t>HOME FHC035 elektromos fűtőszőnyeg hidegburkolat alá, 0,5x7m, 525W, 150W/m2</t>
        </is>
      </c>
      <c r="C2233" s="1" t="n">
        <v>31290.0</v>
      </c>
      <c r="D2233" s="7" t="n">
        <f>HYPERLINK("https://www.somogyi.hu/product/home-fhc035-elektromos-futoszonyeg-hidegburkolat-ala-0-5x7m-525w-150w-m2-fhc035-18875","https://www.somogyi.hu/product/home-fhc035-elektromos-futoszonyeg-hidegburkolat-ala-0-5x7m-525w-150w-m2-fhc035-18875")</f>
        <v>0.0</v>
      </c>
      <c r="E2233" s="7" t="n">
        <f>HYPERLINK("https://www.somogyi.hu/data/img/product_main_images/small/18875.jpg","https://www.somogyi.hu/data/img/product_main_images/small/18875.jpg")</f>
        <v>0.0</v>
      </c>
      <c r="F2233" s="2" t="inlineStr">
        <is>
          <t>5999084968700</t>
        </is>
      </c>
      <c r="G2233" s="4" t="inlineStr">
        <is>
          <t>Szeretne egy hatékony és könnyen telepíthető fűtőszőnyeget hidegburkolat alá, hogy otthonában mindig kellemes meleg legyen? A HOME FHC035 fűtőszőnyeg tökéletes választás, ha hidegburkolat alatti fűtést keres. 
Ez a fűtőszőnyeg kéteres fűtővezetékkel és egyoldali elektromos csatlakoztatással rendelkezik, ami megkönnyíti a telepítést és a bekötést. A szőnyeg fűtési teljesítménye 150 W/m², amely biztosítja a gyors és egyenletes hőelosztást. Az üvegszálas háló öntapadó szalagokkal van ellátva, amelyek egyszerűvé és gyorssá teszik a telepítést. A rendkívül vékony, mindössze 4 mm-es beépítési vastagság biztosítja, hogy a szőnyeg nem emeli meg jelentősen a padlószintet. A fűtővezeték-hurkok közötti távolság kb. 8 cm, ami optimális hőelosztást biztosít a padlófelületen.
A fűtőszőnyeg csatlakozóvezetéke 2,5 méter hosszú kéteres + földelés, amely biztosítja a biztonságos és egyszerű csatlakoztatást. A termék tápellátása 230 V, amely szabványos hálózati feszültség. A fűtőszőnyeg mérete 0,5 m széles és 7 m hosszú, amely 3,5 m²-es területet fed le, fűtési összteljesítménye pedig 525 W.
Fontos megjegyezni, hogy a fűtőszőnyeg nem vágható kisebb méretűre, ezért a tervezés során pontosan mérje fel a szükséges területet. A termék ajánlott vezérlője a Home FHT76WIFI okos termosztát, amely lehetővé teszi a pontos hőmérséklet-szabályozást és a távoli vezérlést. Az FHC035 fűtőszőnyeg ellenállása 100,8 Ω, és alkalmas komfort és/vagy önálló fűtésként is, a külső hőmérséklet és a szigetelés függvényében. 
A tervezést és a telepítést kizárólag szakember végezheti (burkoló, villanyszerelő), ezzel biztosítva, hogy a rendszer megfelelően és biztonságosan működjön, és megfeleljen a jótállás feltételeinek.
Ne hagyja ki a lehetőséget, hogy otthonában mindig kellemes meleget teremtsen – rendelje meg a HOME FHC035 fűtőszőnyeget még ma, és élvezze a komfortos padlófűtést minden nap!</t>
        </is>
      </c>
    </row>
    <row r="2234">
      <c r="A2234" s="3" t="inlineStr">
        <is>
          <t>FHC025</t>
        </is>
      </c>
      <c r="B2234" s="2" t="inlineStr">
        <is>
          <t>HOME FHC025 elektromos fűtőszőnyeg hidegburkolat alá, 0,5x5m, 375W, 150W/m2</t>
        </is>
      </c>
      <c r="C2234" s="1" t="n">
        <v>25490.0</v>
      </c>
      <c r="D2234" s="7" t="n">
        <f>HYPERLINK("https://www.somogyi.hu/product/home-fhc025-elektromos-futoszonyeg-hidegburkolat-ala-0-5x5m-375w-150w-m2-fhc025-18873","https://www.somogyi.hu/product/home-fhc025-elektromos-futoszonyeg-hidegburkolat-ala-0-5x5m-375w-150w-m2-fhc025-18873")</f>
        <v>0.0</v>
      </c>
      <c r="E2234" s="7" t="n">
        <f>HYPERLINK("https://www.somogyi.hu/data/img/product_main_images/small/18873.jpg","https://www.somogyi.hu/data/img/product_main_images/small/18873.jpg")</f>
        <v>0.0</v>
      </c>
      <c r="F2234" s="2" t="inlineStr">
        <is>
          <t>5999084968687</t>
        </is>
      </c>
      <c r="G2234" s="4" t="inlineStr">
        <is>
          <t>Szeretne egy hatékony és könnyen telepíthető fűtőszőnyeget hidegburkolat alá, hogy otthonában mindig kellemes meleg legyen? A HOME FHC025 fűtőszőnyeg tökéletes választás, ha hidegburkolat alatti fűtést keres. 
Ez a fűtőszőnyeg kéteres fűtővezetékkel és egyoldali elektromos csatlakoztatással rendelkezik, ami megkönnyíti a telepítést és a bekötést. A szőnyeg fűtési teljesítménye 150 W/m², amely biztosítja a gyors és egyenletes hőelosztást. Az üvegszálas háló öntapadó szalagokkal van ellátva, amelyek egyszerűvé és gyorssá teszik a telepítést. A rendkívül vékony, mindössze 4 mm-es beépítési vastagság biztosítja, hogy a szőnyeg nem emeli meg jelentősen a padlószintet. A fűtővezeték-hurkok közötti távolság kb. 8 cm, ami optimális hőelosztást biztosít a padlófelületen.
A fűtőszőnyeg csatlakozóvezetéke 2,5 méter hosszú kéteres + földelés, amely biztosítja a biztonságos és egyszerű csatlakoztatást. A termék tápellátása 230 V, amely szabványos hálózati feszültség. A fűtőszőnyeg mérete 0,5 m széles és 5 m hosszú, amely 2,5 m²-es területet fed le, fűtési összteljesítménye pedig 375 W.
Fontos megjegyezni, hogy a fűtőszőnyeg nem vágható kisebb méretűre, ezért a tervezés során pontosan mérje fel a szükséges területet. A termék ajánlott vezérlője a Home FHT76WIFI okos termosztát, amely lehetővé teszi a pontos hőmérséklet-szabályozást és a távoli vezérlést. Az FHC025 fűtőszőnyeg ellenállása 141,1 Ω, és alkalmas komfort és/vagy önálló fűtésként is, a külső hőmérséklet és a szigetelés függvényében. 
A tervezést és a telepítést kizárólag szakember végezheti (burkoló, villanyszerelő), ezzel biztosítva, hogy a rendszer megfelelően és biztonságosan működjön, és megfeleljen a jótállás feltételeinek.
Ne hagyja ki a lehetőséget, hogy otthonában mindig kellemes meleget teremtsen – rendelje meg a HOME FHC025 fűtőszőnyeget még ma, és élvezze a komfortos padlófűtést minden nap!</t>
        </is>
      </c>
    </row>
    <row r="2235">
      <c r="A2235" s="3" t="inlineStr">
        <is>
          <t>FHC090</t>
        </is>
      </c>
      <c r="B2235" s="2" t="inlineStr">
        <is>
          <t>HOME FHC090 elektromos fűtőszőnyeg hidegburkolat alá, 0,5x18m, 1350W, 150W/m2</t>
        </is>
      </c>
      <c r="C2235" s="1" t="n">
        <v>69790.0</v>
      </c>
      <c r="D2235" s="7" t="n">
        <f>HYPERLINK("https://www.somogyi.hu/product/home-fhc090-elektromos-futoszonyeg-hidegburkolat-ala-0-5x18m-1350w-150w-m2-fhc090-18881","https://www.somogyi.hu/product/home-fhc090-elektromos-futoszonyeg-hidegburkolat-ala-0-5x18m-1350w-150w-m2-fhc090-18881")</f>
        <v>0.0</v>
      </c>
      <c r="E2235" s="7" t="n">
        <f>HYPERLINK("https://www.somogyi.hu/data/img/product_main_images/small/18881.jpg","https://www.somogyi.hu/data/img/product_main_images/small/18881.jpg")</f>
        <v>0.0</v>
      </c>
      <c r="F2235" s="2" t="inlineStr">
        <is>
          <t>5999084968762</t>
        </is>
      </c>
      <c r="G2235" s="4" t="inlineStr">
        <is>
          <t>Szeretne egy hatékony és könnyen telepíthető fűtőszőnyeget hidegburkolat alá, hogy otthonában mindig kellemes meleg legyen? A HOME FHC090 fűtőszőnyeg tökéletes választás, ha hidegburkolat alatti fűtést keres. 
Ez a fűtőszőnyeg kéteres fűtővezetékkel és egyoldali elektromos csatlakoztatással rendelkezik, ami megkönnyíti a telepítést és a bekötést. A szőnyeg fűtési teljesítménye 150 W/m², amely biztosítja a gyors és egyenletes hőelosztást. Az üvegszálas háló öntapadó szalagokkal van ellátva, amelyek egyszerűvé és gyorssá teszik a telepítést. A rendkívül vékony, mindössze 4 mm-es beépítési vastagság biztosítja, hogy a szőnyeg nem emeli meg jelentősen a padlószintet. A fűtővezeték-hurkok közötti távolság kb. 8 cm, ami optimális hőelosztást biztosít a padlófelületen.
A fűtőszőnyeg csatlakozóvezetéke 2,5 méter hosszú kéteres + földelés, amely biztosítja a biztonságos és egyszerű csatlakoztatást. A termék tápellátása 230 V, amely szabványos hálózati feszültség. A fűtőszőnyeg mérete 0,5 m széles és 18 m hosszú, amely 9 m²-es területet fed le, fűtési összteljesítménye pedig 1350 W.
Fontos megjegyezni, hogy a fűtőszőnyeg nem vágható kisebb méretűre, ezért a tervezés során pontosan mérje fel a szükséges területet. A termék ajánlott vezérlője a Home FHT76WIFI okos termosztát, amely lehetővé teszi a pontos hőmérséklet-szabályozást és a távoli vezérlést. Az FHC090 fűtőszőnyeg ellenállása 39,2 Ω, és alkalmas komfort és/vagy önálló fűtésként is, a külső hőmérséklet és a szigetelés függvényében. 
A tervezést és a telepítést kizárólag szakember végezheti (burkoló, villanyszerelő), ezzel biztosítva, hogy a rendszer megfelelően és biztonságosan működjön, és megfeleljen a jótállás feltételeinek.
Ne hagyja ki a lehetőséget, hogy otthonában mindig kellemes meleget teremtsen – rendelje meg a HOME FHC090 fűtőszőnyeget még ma, és élvezze a komfortos padlófűtést minden nap!</t>
        </is>
      </c>
    </row>
    <row r="2236">
      <c r="A2236" s="3" t="inlineStr">
        <is>
          <t>FHW015</t>
        </is>
      </c>
      <c r="B2236" s="2" t="inlineStr">
        <is>
          <t>HOME FHW015 elektromos fűtőszőnyeg melegburkolat alá, 0,5x3m, 225W, 150W/m2</t>
        </is>
      </c>
      <c r="C2236" s="1" t="n">
        <v>23390.0</v>
      </c>
      <c r="D2236" s="7" t="n">
        <f>HYPERLINK("https://www.somogyi.hu/product/home-fhw015-elektromos-futoszonyeg-melegburkolat-ala-0-5x3m-225w-150w-m2-fhw015-18887","https://www.somogyi.hu/product/home-fhw015-elektromos-futoszonyeg-melegburkolat-ala-0-5x3m-225w-150w-m2-fhw015-18887")</f>
        <v>0.0</v>
      </c>
      <c r="E2236" s="7" t="n">
        <f>HYPERLINK("https://www.somogyi.hu/data/img/product_main_images/small/18887.jpg","https://www.somogyi.hu/data/img/product_main_images/small/18887.jpg")</f>
        <v>0.0</v>
      </c>
      <c r="F2236" s="2" t="inlineStr">
        <is>
          <t>5999084968823</t>
        </is>
      </c>
      <c r="G2236" s="4" t="inlineStr">
        <is>
          <t>Szeretné melegburkolat alá rejtett padlófűtéssel növelni otthona kényelmét és hatékonyságát? A HOME FHW015 elektromos fűtőszőnyeg ideális megoldás melegburkolat alá, biztosítva az egyenletes és kellemes meleget a padlófelületen.
Ez a fűtőszőnyeg kéteres fűtővezetékkel rendelkezik, amely egyoldali elektromos csatlakoztatást tesz lehetővé, így a telepítés egyszerű és gyors. A fűtési teljesítménye 150 W/m², amely garantálja a hatékony fűtést. Az alumínium fólia borítás mindkét oldalon biztosítja a hő egyenletes elosztását és a hatékony hőátadást a padlófelületre. A fűtőszőnyeg rendkívül vékony, mindössze 1,4 mm beépítési vastagsággal rendelkezik, így szinte észrevétlenül telepíthető a burkolat alá. A fűtővezeték-hurkok közötti távolság kb. 5 cm, ami optimális hőelosztást biztosít.
A fűtőszőnyeg csatlakozóvezetéke 2,5 méter hosszú, kéteres + földelés, amely biztonságos és egyszerű csatlakoztatást biztosít. A termék tápellátása 230 V, ami a szabványos hálózati feszültség. A fűtőszőnyeg mérete 0,5 m széles és 3 m hosszú, amely 1,5 m²-es területet fed le, fűtési összteljesítménye pedig 225 W. A fűtőszőnyeg ellenállása 235,1 Ω.
Fontos megjegyezni, hogy a fűtőszőnyeg nem vágható kisebb méretűre, ezért a tervezés során pontosan mérje fel a szükséges területet. A termék ajánlott vezérlője a Home FHT76WIFI okos termosztát, amely lehetővé teszi a pontos hőmérséklet-szabályozást és a távoli vezérlést. A HOME FHW015 fűtőszőnyeg alkalmas komfort- és önálló fűtésként is, a külső hőmérséklet és a szigetelés függvényében.
A tervezést és a telepítést kizárólag szakember végezheti (burkoló, villanyszerelő), ezzel biztosítva, hogy a rendszer megfelelően és biztonságosan működjön, és megfeleljen a jótállás feltételeinek.
Ne hagyja ki ezt a lehetőséget, hogy otthonában mindig kellemes meleget teremtsen – rendelje meg a HOME FHW015 fűtőszőnyeget még ma, és élvezze a komfortos padlófűtést minden nap!</t>
        </is>
      </c>
    </row>
    <row r="2237">
      <c r="A2237" s="3" t="inlineStr">
        <is>
          <t>FHW020</t>
        </is>
      </c>
      <c r="B2237" s="2" t="inlineStr">
        <is>
          <t>HOME FHW020 elektromos fűtőszőnyeg melegburkolat alá, 0,5x4m, 300W, 150W/m2</t>
        </is>
      </c>
      <c r="C2237" s="1" t="n">
        <v>28990.0</v>
      </c>
      <c r="D2237" s="7" t="n">
        <f>HYPERLINK("https://www.somogyi.hu/product/home-fhw020-elektromos-futoszonyeg-melegburkolat-ala-0-5x4m-300w-150w-m2-fhw020-18888","https://www.somogyi.hu/product/home-fhw020-elektromos-futoszonyeg-melegburkolat-ala-0-5x4m-300w-150w-m2-fhw020-18888")</f>
        <v>0.0</v>
      </c>
      <c r="E2237" s="7" t="n">
        <f>HYPERLINK("https://www.somogyi.hu/data/img/product_main_images/small/18888.jpg","https://www.somogyi.hu/data/img/product_main_images/small/18888.jpg")</f>
        <v>0.0</v>
      </c>
      <c r="F2237" s="2" t="inlineStr">
        <is>
          <t>5999084968830</t>
        </is>
      </c>
      <c r="G2237" s="4" t="inlineStr">
        <is>
          <t>Szeretné melegburkolat alá rejtett padlófűtéssel növelni otthona kényelmét és hatékonyságát? A HOME FHW020 elektromos fűtőszőnyeg ideális megoldás melegburkolat alá, biztosítva az egyenletes és kellemes meleget a padlófelületen.
Ez a fűtőszőnyeg kéteres fűtővezetékkel rendelkezik, amely egyoldali elektromos csatlakoztatást tesz lehetővé, így a telepítés egyszerű és gyors. A fűtési teljesítménye 150 W/m², amely garantálja a hatékony fűtést. Az alumínium fólia borítás mindkét oldalon biztosítja a hő egyenletes elosztását és a hatékony hőátadást a padlófelületre. A fűtőszőnyeg rendkívül vékony, mindössze 1,4 mm beépítési vastagsággal rendelkezik, így szinte észrevétlenül telepíthető a burkolat alá. A fűtővezeték-hurkok közötti távolság kb. 5 cm, ami optimális hőelosztást biztosít.
A fűtőszőnyeg csatlakozóvezetéke 2,5 méter hosszú, kéteres + földelés, amely biztonságos és egyszerű csatlakoztatást biztosít. A termék tápellátása 230 V, ami a szabványos hálózati feszültség. A fűtőszőnyeg mérete 0,5 m széles és 4 m hosszú, amely 2 m²-es területet fed le, fűtési összteljesítménye pedig 300 W. A fűtőszőnyeg ellenállása 176,3 Ω.
Fontos megjegyezni, hogy a fűtőszőnyeg nem vágható kisebb méretűre, ezért a tervezés során pontosan mérje fel a szükséges területet. A termék ajánlott vezérlője a Home FHT76WIFI okos termosztát, amely lehetővé teszi a pontos hőmérséklet-szabályozást és a távoli vezérlést. A HOME FHW020 fűtőszőnyeg alkalmas komfort- és önálló fűtésként is, a külső hőmérséklet és a szigetelés függvényében.
A tervezést és a telepítést kizárólag szakember végezheti (burkoló, villanyszerelő), ezzel biztosítva, hogy a rendszer megfelelően és biztonságosan működjön, és megfeleljen a jótállás feltételeinek.
Ne hagyja ki ezt a lehetőséget, hogy otthonában mindig kellemes meleget teremtsen – rendelje meg a HOME FHW020 fűtőszőnyeget még ma, és élvezze a komfortos padlófűtést minden nap!</t>
        </is>
      </c>
    </row>
    <row r="2238">
      <c r="A2238" s="3" t="inlineStr">
        <is>
          <t>FHC100</t>
        </is>
      </c>
      <c r="B2238" s="2" t="inlineStr">
        <is>
          <t>HOME FHC100 elektromos fűtőszőnyeg hidegburkolat alá, 0,5x20m, 1500W, 150W/m2</t>
        </is>
      </c>
      <c r="C2238" s="1" t="n">
        <v>77290.0</v>
      </c>
      <c r="D2238" s="7" t="n">
        <f>HYPERLINK("https://www.somogyi.hu/product/home-fhc100-elektromos-futoszonyeg-hidegburkolat-ala-0-5x20m-1500w-150w-m2-fhc100-18882","https://www.somogyi.hu/product/home-fhc100-elektromos-futoszonyeg-hidegburkolat-ala-0-5x20m-1500w-150w-m2-fhc100-18882")</f>
        <v>0.0</v>
      </c>
      <c r="E2238" s="7" t="n">
        <f>HYPERLINK("https://www.somogyi.hu/data/img/product_main_images/small/18882.jpg","https://www.somogyi.hu/data/img/product_main_images/small/18882.jpg")</f>
        <v>0.0</v>
      </c>
      <c r="F2238" s="2" t="inlineStr">
        <is>
          <t>5999084968779</t>
        </is>
      </c>
      <c r="G2238" s="4" t="inlineStr">
        <is>
          <t>Szeretne egy hatékony és könnyen telepíthető fűtőszőnyeget hidegburkolat alá, hogy otthonában mindig kellemes meleg legyen? A HOME FHC100 fűtőszőnyeg tökéletes választás, ha hidegburkolat alatti fűtést keres. 
Ez a fűtőszőnyeg kéteres fűtővezetékkel és egyoldali elektromos csatlakoztatással rendelkezik, ami megkönnyíti a telepítést és a bekötést. A szőnyeg fűtési teljesítménye 150 W/m², amely biztosítja a gyors és egyenletes hőelosztást. Az üvegszálas háló öntapadó szalagokkal van ellátva, amelyek egyszerűvé és gyorssá teszik a telepítést. A rendkívül vékony, mindössze 4 mm-es beépítési vastagság biztosítja, hogy a szőnyeg nem emeli meg jelentősen a padlószintet. A fűtővezeték-hurkok közötti távolság kb. 8 cm, ami optimális hőelosztást biztosít a padlófelületen.
A fűtőszőnyeg csatlakozóvezetéke 2,5 méter hosszú kéteres + földelés, amely biztosítja a biztonságos és egyszerű csatlakoztatást. A termék tápellátása 230 V, amely szabványos hálózati feszültség. A fűtőszőnyeg mérete 0,5 m széles és 20 m hosszú, amely 10 m²-es területet fed le, fűtési összteljesítménye pedig 1500 W.
Fontos megjegyezni, hogy a fűtőszőnyeg nem vágható kisebb méretűre, ezért a tervezés során pontosan mérje fel a szükséges területet. A termék ajánlott vezérlője a Home FHT76WIFI okos termosztát, amely lehetővé teszi a pontos hőmérséklet-szabályozást és a távoli vezérlést. Az FHC100 fűtőszőnyeg ellenállása 35,3 Ω, és alkalmas komfort és/vagy önálló fűtésként is, a külső hőmérséklet és a szigetelés függvényében. 
A tervezést és a telepítést kizárólag szakember végezheti (burkoló, villanyszerelő), ezzel biztosítva, hogy a rendszer megfelelően és biztonságosan működjön, és megfeleljen a jótállás feltételeinek.
Ne hagyja ki a lehetőséget, hogy otthonában mindig kellemes meleget teremtsen – rendelje meg a HOME FHC100 fűtőszőnyeget még ma, és élvezze a komfortos padlófűtést minden nap!</t>
        </is>
      </c>
    </row>
    <row r="2239">
      <c r="A2239" s="3" t="inlineStr">
        <is>
          <t>FHC020</t>
        </is>
      </c>
      <c r="B2239" s="2" t="inlineStr">
        <is>
          <t>HOME FHC020 elektromos fűtőszőnyeg hidegburkolat alá, 0,5x4m, 300W, 150W/m2</t>
        </is>
      </c>
      <c r="C2239" s="1" t="n">
        <v>23390.0</v>
      </c>
      <c r="D2239" s="7" t="n">
        <f>HYPERLINK("https://www.somogyi.hu/product/home-fhc020-elektromos-futoszonyeg-hidegburkolat-ala-0-5x4m-300w-150w-m2-fhc020-18872","https://www.somogyi.hu/product/home-fhc020-elektromos-futoszonyeg-hidegburkolat-ala-0-5x4m-300w-150w-m2-fhc020-18872")</f>
        <v>0.0</v>
      </c>
      <c r="E2239" s="7" t="n">
        <f>HYPERLINK("https://www.somogyi.hu/data/img/product_main_images/small/18872.jpg","https://www.somogyi.hu/data/img/product_main_images/small/18872.jpg")</f>
        <v>0.0</v>
      </c>
      <c r="F2239" s="2" t="inlineStr">
        <is>
          <t>5999084968670</t>
        </is>
      </c>
      <c r="G2239" s="4" t="inlineStr">
        <is>
          <t>Szeretne egy hatékony és könnyen telepíthető fűtőszőnyeget hidegburkolat alá, hogy otthonában mindig kellemes meleg legyen? A HOME FHC020 fűtőszőnyeg tökéletes választás, ha hidegburkolat alatti fűtést keres. 
Ez a fűtőszőnyeg kéteres fűtővezetékkel és egyoldali elektromos csatlakoztatással rendelkezik, ami megkönnyíti a telepítést és a bekötést. A szőnyeg fűtési teljesítménye 150 W/m², amely biztosítja a gyors és egyenletes hőelosztást. Az üvegszálas háló öntapadó szalagokkal van ellátva, amelyek egyszerűvé és gyorssá teszik a telepítést. A rendkívül vékony, mindössze 4 mm-es beépítési vastagság biztosítja, hogy a szőnyeg nem emeli meg jelentősen a padlószintet. A fűtővezeték-hurkok közötti távolság kb. 8 cm, ami optimális hőelosztást biztosít a padlófelületen.
A fűtőszőnyeg csatlakozóvezetéke 2,5 méter hosszú kéteres + földelés, amely biztosítja a biztonságos és egyszerű csatlakoztatást. A termék tápellátása 230 V, amely szabványos hálózati feszültség. A fűtőszőnyeg mérete 0,5 m széles és 4 m hosszú, amely 2 m²-es területet fed le, fűtési összteljesítménye pedig 300 W.
Fontos megjegyezni, hogy a fűtőszőnyeg nem vágható kisebb méretűre, ezért a tervezés során pontosan mérje fel a szükséges területet. A termék ajánlott vezérlője a Home FHT76WIFI okos termosztát, amely lehetővé teszi a pontos hőmérséklet-szabályozást és a távoli vezérlést. Az FHC020 fűtőszőnyeg ellenállása 176,3 Ω, és alkalmas komfort és/vagy önálló fűtésként is, a külső hőmérséklet és a szigetelés függvényében. 
A tervezést és a telepítést kizárólag szakember végezheti (burkoló, villanyszerelő), ezzel biztosítva, hogy a rendszer megfelelően és biztonságosan működjön, és megfeleljen a jótállás feltételeinek.
Ne hagyja ki a lehetőséget, hogy otthonában mindig kellemes meleget teremtsen – rendelje meg a HOME FHC020 fűtőszőnyeget még ma, és élvezze a komfortos padlófűtést minden nap!</t>
        </is>
      </c>
    </row>
    <row r="2240">
      <c r="A2240" s="3" t="inlineStr">
        <is>
          <t>FHW025</t>
        </is>
      </c>
      <c r="B2240" s="2" t="inlineStr">
        <is>
          <t>HOME FHW025 elektromos fűtőszőnyeg melegburkolat alá, 0,5x5m, 375W, 150W/m2</t>
        </is>
      </c>
      <c r="C2240" s="1" t="n">
        <v>35390.0</v>
      </c>
      <c r="D2240" s="7" t="n">
        <f>HYPERLINK("https://www.somogyi.hu/product/home-fhw025-elektromos-futoszonyeg-melegburkolat-ala-0-5x5m-375w-150w-m2-fhw025-18889","https://www.somogyi.hu/product/home-fhw025-elektromos-futoszonyeg-melegburkolat-ala-0-5x5m-375w-150w-m2-fhw025-18889")</f>
        <v>0.0</v>
      </c>
      <c r="E2240" s="7" t="n">
        <f>HYPERLINK("https://www.somogyi.hu/data/img/product_main_images/small/18889.jpg","https://www.somogyi.hu/data/img/product_main_images/small/18889.jpg")</f>
        <v>0.0</v>
      </c>
      <c r="F2240" s="2" t="inlineStr">
        <is>
          <t>5999084968847</t>
        </is>
      </c>
      <c r="G2240" s="4" t="inlineStr">
        <is>
          <t>Szeretné melegburkolat alá rejtett padlófűtéssel növelni otthona kényelmét és hatékonyságát? A HOME FHW025 elektromos fűtőszőnyeg ideális megoldás melegburkolat alá, biztosítva az egyenletes és kellemes meleget a padlófelületen.
Ez a fűtőszőnyeg kéteres fűtővezetékkel rendelkezik, amely egyoldali elektromos csatlakoztatást tesz lehetővé, így a telepítés egyszerű és gyors. A fűtési teljesítménye 150 W/m², amely garantálja a hatékony fűtést. Az alumínium fólia borítás mindkét oldalon biztosítja a hő egyenletes elosztását és a hatékony hőátadást a padlófelületre. A fűtőszőnyeg rendkívül vékony, mindössze 1,4 mm beépítési vastagsággal rendelkezik, így szinte észrevétlenül telepíthető a burkolat alá. A fűtővezeték-hurkok közötti távolság kb. 5 cm, ami optimális hőelosztást biztosít.
A fűtőszőnyeg csatlakozóvezetéke 2,5 méter hosszú, kéteres + földelés, amely biztonságos és egyszerű csatlakoztatást biztosít. A termék tápellátása 230 V, ami a szabványos hálózati feszültség. A fűtőszőnyeg mérete 0,5 m széles és 5 m hosszú, amely 2,5 m²-es területet fed le, fűtési összteljesítménye pedig 375 W. A fűtőszőnyeg ellenállása 141,1 Ω.
Fontos megjegyezni, hogy a fűtőszőnyeg nem vágható kisebb méretűre, ezért a tervezés során pontosan mérje fel a szükséges területet. A termék ajánlott vezérlője a Home FHT76WIFI okos termosztát, amely lehetővé teszi a pontos hőmérséklet-szabályozást és a távoli vezérlést. A HOME FHW025 fűtőszőnyeg alkalmas komfort- és önálló fűtésként is, a külső hőmérséklet és a szigetelés függvényében.
A tervezést és a telepítést kizárólag szakember végezheti (burkoló, villanyszerelő), ezzel biztosítva, hogy a rendszer megfelelően és biztonságosan működjön, és megfeleljen a jótállás feltételeinek.
Ne hagyja ki ezt a lehetőséget, hogy otthonában mindig kellemes meleget teremtsen – rendelje meg a HOME FHW025 fűtőszőnyeget még ma, és élvezze a komfortos padlófűtést minden nap!</t>
        </is>
      </c>
    </row>
    <row r="2241">
      <c r="A2241" s="3" t="inlineStr">
        <is>
          <t>FHW030</t>
        </is>
      </c>
      <c r="B2241" s="2" t="inlineStr">
        <is>
          <t>HOME FHW030 elektromos fűtőszőnyeg melegburkolat alá, 0,5x6m, 450W, 150W/m2</t>
        </is>
      </c>
      <c r="C2241" s="1" t="n">
        <v>42190.0</v>
      </c>
      <c r="D2241" s="7" t="n">
        <f>HYPERLINK("https://www.somogyi.hu/product/home-fhw030-elektromos-futoszonyeg-melegburkolat-ala-0-5x6m-450w-150w-m2-fhw030-18890","https://www.somogyi.hu/product/home-fhw030-elektromos-futoszonyeg-melegburkolat-ala-0-5x6m-450w-150w-m2-fhw030-18890")</f>
        <v>0.0</v>
      </c>
      <c r="E2241" s="7" t="n">
        <f>HYPERLINK("https://www.somogyi.hu/data/img/product_main_images/small/18890.jpg","https://www.somogyi.hu/data/img/product_main_images/small/18890.jpg")</f>
        <v>0.0</v>
      </c>
      <c r="F2241" s="2" t="inlineStr">
        <is>
          <t>5999084968854</t>
        </is>
      </c>
      <c r="G2241" s="4" t="inlineStr">
        <is>
          <t>Szeretné melegburkolat alá rejtett padlófűtéssel növelni otthona kényelmét és hatékonyságát? A HOME FHW030 elektromos fűtőszőnyeg ideális megoldás melegburkolat alá, biztosítva az egyenletes és kellemes meleget a padlófelületen.
Ez a fűtőszőnyeg kéteres fűtővezetékkel rendelkezik, amely egyoldali elektromos csatlakoztatást tesz lehetővé, így a telepítés egyszerű és gyors. A fűtési teljesítménye 150 W/m², amely garantálja a hatékony fűtést. Az alumínium fólia borítás mindkét oldalon biztosítja a hő egyenletes elosztását és a hatékony hőátadást a padlófelületre. A fűtőszőnyeg rendkívül vékony, mindössze 1,4 mm beépítési vastagsággal rendelkezik, így szinte észrevétlenül telepíthető a burkolat alá. A fűtővezeték-hurkok közötti távolság kb. 5 cm, ami optimális hőelosztást biztosít.
A fűtőszőnyeg csatlakozóvezetéke 2,5 méter hosszú, kéteres + földelés, amely biztonságos és egyszerű csatlakoztatást biztosít. A termék tápellátása 230 V, ami a szabványos hálózati feszültség. A fűtőszőnyeg mérete 0,5 m széles és 6 m hosszú, amely 3 m²-es területet fed le, fűtési összteljesítménye pedig 450 W. A fűtőszőnyeg ellenállása 117,6 Ω.
Fontos megjegyezni, hogy a fűtőszőnyeg nem vágható kisebb méretűre, ezért a tervezés során pontosan mérje fel a szükséges területet. A termék ajánlott vezérlője a Home FHT76WIFI okos termosztát, amely lehetővé teszi a pontos hőmérséklet-szabályozást és a távoli vezérlést. A HOME FHW030 fűtőszőnyeg alkalmas komfort- és önálló fűtésként is, a külső hőmérséklet és a szigetelés függvényében.
A tervezést és a telepítést kizárólag szakember végezheti (burkoló, villanyszerelő), ezzel biztosítva, hogy a rendszer megfelelően és biztonságosan működjön, és megfeleljen a jótállás feltételeinek.
Ne hagyja ki ezt a lehetőséget, hogy otthonában mindig kellemes meleget teremtsen – rendelje meg a HOME FHW030 fűtőszőnyeget még ma, és élvezze a komfortos padlófűtést minden nap!</t>
        </is>
      </c>
    </row>
    <row r="2242">
      <c r="A2242" s="3" t="inlineStr">
        <is>
          <t>FHW050</t>
        </is>
      </c>
      <c r="B2242" s="2" t="inlineStr">
        <is>
          <t>HOME FHW050 elektromos fűtőszőnyeg melegburkolat alá, 0,5x10m, 750W, 150W/m2</t>
        </is>
      </c>
      <c r="C2242" s="1" t="n">
        <v>66490.0</v>
      </c>
      <c r="D2242" s="7" t="n">
        <f>HYPERLINK("https://www.somogyi.hu/product/home-fhw050-elektromos-futoszonyeg-melegburkolat-ala-0-5x10m-750w-150w-m2-fhw050-18892","https://www.somogyi.hu/product/home-fhw050-elektromos-futoszonyeg-melegburkolat-ala-0-5x10m-750w-150w-m2-fhw050-18892")</f>
        <v>0.0</v>
      </c>
      <c r="E2242" s="7" t="n">
        <f>HYPERLINK("https://www.somogyi.hu/data/img/product_main_images/small/18892.jpg","https://www.somogyi.hu/data/img/product_main_images/small/18892.jpg")</f>
        <v>0.0</v>
      </c>
      <c r="F2242" s="2" t="inlineStr">
        <is>
          <t>5999084968878</t>
        </is>
      </c>
      <c r="G2242" s="4" t="inlineStr">
        <is>
          <t>Szeretné melegburkolat alá rejtett padlófűtéssel növelni otthona kényelmét és hatékonyságát? A HOME FHW050 elektromos fűtőszőnyeg ideális megoldás melegburkolat alá, biztosítva az egyenletes és kellemes meleget a padlófelületen.
Ez a fűtőszőnyeg kéteres fűtővezetékkel rendelkezik, amely egyoldali elektromos csatlakoztatást tesz lehetővé, így a telepítés egyszerű és gyors. A fűtési teljesítménye 150 W/m², amely garantálja a hatékony fűtést. Az alumínium fólia borítás mindkét oldalon biztosítja a hő egyenletes elosztását és a hatékony hőátadást a padlófelületre. A fűtőszőnyeg rendkívül vékony, mindössze 1,4 mm beépítési vastagsággal rendelkezik, így szinte észrevétlenül telepíthető a burkolat alá. A fűtővezeték-hurkok közötti távolság kb. 5 cm, ami optimális hőelosztást biztosít.
A fűtőszőnyeg csatlakozóvezetéke 2,5 méter hosszú, kéteres + földelés, amely biztonságos és egyszerű csatlakoztatást biztosít. A termék tápellátása 230 V, ami a szabványos hálózati feszültség. A fűtőszőnyeg mérete 0,5 m széles és 10 m hosszú, amely 5 m²-es területet fed le, fűtési összteljesítménye pedig 750 W. A fűtőszőnyeg ellenállása 70,5 Ω.
Fontos megjegyezni, hogy a fűtőszőnyeg nem vágható kisebb méretűre, ezért a tervezés során pontosan mérje fel a szükséges területet. A termék ajánlott vezérlője a Home FHT76WIFI okos termosztát, amely lehetővé teszi a pontos hőmérséklet-szabályozást és a távoli vezérlést. A HOME FHW050 fűtőszőnyeg alkalmas komfort- és önálló fűtésként is, a külső hőmérséklet és a szigetelés függvényében.
A tervezést és a telepítést kizárólag szakember végezheti (burkoló, villanyszerelő), ezzel biztosítva, hogy a rendszer megfelelően és biztonságosan működjön, és megfeleljen a jótállás feltételeinek.
Ne hagyja ki ezt a lehetőséget, hogy otthonában mindig kellemes meleget teremtsen – rendelje meg a HOME FHW050 fűtőszőnyeget még ma, és élvezze a komfortos padlófűtést minden nap!</t>
        </is>
      </c>
    </row>
    <row r="2243">
      <c r="A2243" s="3" t="inlineStr">
        <is>
          <t>FHC070</t>
        </is>
      </c>
      <c r="B2243" s="2" t="inlineStr">
        <is>
          <t>HOME FHC070 elektromos fűtőszőnyeg hidegburkolat alá, 0,5x14m, 1050W, 150W/m2</t>
        </is>
      </c>
      <c r="C2243" s="1" t="n">
        <v>55390.0</v>
      </c>
      <c r="D2243" s="7" t="n">
        <f>HYPERLINK("https://www.somogyi.hu/product/home-fhc070-elektromos-futoszonyeg-hidegburkolat-ala-0-5x14m-1050w-150w-m2-fhc070-18879","https://www.somogyi.hu/product/home-fhc070-elektromos-futoszonyeg-hidegburkolat-ala-0-5x14m-1050w-150w-m2-fhc070-18879")</f>
        <v>0.0</v>
      </c>
      <c r="E2243" s="7" t="n">
        <f>HYPERLINK("https://www.somogyi.hu/data/img/product_main_images/small/18879.jpg","https://www.somogyi.hu/data/img/product_main_images/small/18879.jpg")</f>
        <v>0.0</v>
      </c>
      <c r="F2243" s="2" t="inlineStr">
        <is>
          <t>5999084968748</t>
        </is>
      </c>
      <c r="G2243" s="4" t="inlineStr">
        <is>
          <t>Szeretne egy hatékony és könnyen telepíthető fűtőszőnyeget hidegburkolat alá, hogy otthonában mindig kellemes meleg legyen? A HOME FHC070 fűtőszőnyeg tökéletes választás, ha hidegburkolat alatti fűtést keres. 
Ez a fűtőszőnyeg kéteres fűtővezetékkel és egyoldali elektromos csatlakoztatással rendelkezik, ami megkönnyíti a telepítést és a bekötést. A szőnyeg fűtési teljesítménye 150 W/m², amely biztosítja a gyors és egyenletes hőelosztást. Az üvegszálas háló öntapadó szalagokkal van ellátva, amelyek egyszerűvé és gyorssá teszik a telepítést. A rendkívül vékony, mindössze 4 mm-es beépítési vastagság biztosítja, hogy a szőnyeg nem emeli meg jelentősen a padlószintet. A fűtővezeték-hurkok közötti távolság kb. 8 cm, ami optimális hőelosztást biztosít a padlófelületen.
A fűtőszőnyeg csatlakozóvezetéke 2,5 méter hosszú kéteres + földelés, amely biztosítja a biztonságos és egyszerű csatlakoztatást. A termék tápellátása 230 V, amely szabványos hálózati feszültség. A fűtőszőnyeg mérete 0,5 m széles és 14 m hosszú, amely 7 m²-es területet fed le, fűtési összteljesítménye pedig 1050 W.
Fontos megjegyezni, hogy a fűtőszőnyeg nem vágható kisebb méretűre, ezért a tervezés során pontosan mérje fel a szükséges területet. A termék ajánlott vezérlője a Home FHT76WIFI okos termosztát, amely lehetővé teszi a pontos hőmérséklet-szabályozást és a távoli vezérlést. Az FHC070 fűtőszőnyeg ellenállása 50,4 Ω, és alkalmas komfort és/vagy önálló fűtésként is, a külső hőmérséklet és a szigetelés függvényében. 
A tervezést és a telepítést kizárólag szakember végezheti (burkoló, villanyszerelő), ezzel biztosítva, hogy a rendszer megfelelően és biztonságosan működjön, és megfeleljen a jótállás feltételeinek.
Ne hagyja ki a lehetőséget, hogy otthonában mindig kellemes meleget teremtsen – rendelje meg a HOME FHC070 fűtőszőnyeget még ma, és élvezze a komfortos padlófűtést minden nap!</t>
        </is>
      </c>
    </row>
    <row r="2244">
      <c r="A2244" s="3" t="inlineStr">
        <is>
          <t>FHW090</t>
        </is>
      </c>
      <c r="B2244" s="2" t="inlineStr">
        <is>
          <t>HOME FHW090 elektromos fűtőszőnyeg melegburkolat alá, 0,5x18m, 1350W, 150W/m2</t>
        </is>
      </c>
      <c r="C2244" s="1" t="n">
        <v>116990.0</v>
      </c>
      <c r="D2244" s="7" t="n">
        <f>HYPERLINK("https://www.somogyi.hu/product/home-fhw090-elektromos-futoszonyeg-melegburkolat-ala-0-5x18m-1350w-150w-m2-fhw090-18896","https://www.somogyi.hu/product/home-fhw090-elektromos-futoszonyeg-melegburkolat-ala-0-5x18m-1350w-150w-m2-fhw090-18896")</f>
        <v>0.0</v>
      </c>
      <c r="E2244" s="7" t="n">
        <f>HYPERLINK("https://www.somogyi.hu/data/img/product_main_images/small/18896.jpg","https://www.somogyi.hu/data/img/product_main_images/small/18896.jpg")</f>
        <v>0.0</v>
      </c>
      <c r="F2244" s="2" t="inlineStr">
        <is>
          <t>5999084968915</t>
        </is>
      </c>
      <c r="G2244" s="4" t="inlineStr">
        <is>
          <t>Szeretné melegburkolat alá rejtett padlófűtéssel növelni otthona kényelmét és hatékonyságát? A HOME FHW090 elektromos fűtőszőnyeg ideális megoldás melegburkolat alá, biztosítva az egyenletes és kellemes meleget a padlófelületen.
Ez a fűtőszőnyeg kéteres fűtővezetékkel rendelkezik, amely egyoldali elektromos csatlakoztatást tesz lehetővé, így a telepítés egyszerű és gyors. A fűtési teljesítménye 150 W/m², amely garantálja a hatékony fűtést. Az alumínium fólia borítás mindkét oldalon biztosítja a hő egyenletes elosztását és a hatékony hőátadást a padlófelületre. A fűtőszőnyeg rendkívül vékony, mindössze 1,4 mm beépítési vastagsággal rendelkezik, így szinte észrevétlenül telepíthető a burkolat alá. A fűtővezeték-hurkok közötti távolság kb. 5 cm, ami optimális hőelosztást biztosít.
A fűtőszőnyeg csatlakozóvezetéke 2,5 méter hosszú, kéteres + földelés, amely biztonságos és egyszerű csatlakoztatást biztosít. A termék tápellátása 230 V, ami a szabványos hálózati feszültség. A fűtőszőnyeg mérete 0,5 m széles és 18 m hosszú, amely 9 m²-es területet fed le, fűtési összteljesítménye pedig 1350 W. A fűtőszőnyeg ellenállása 39,2 Ω.
Fontos megjegyezni, hogy a fűtőszőnyeg nem vágható kisebb méretűre, ezért a tervezés során pontosan mérje fel a szükséges területet. A termék ajánlott vezérlője a Home FHT76WIFI okos termosztát, amely lehetővé teszi a pontos hőmérséklet-szabályozást és a távoli vezérlést. A HOME FHW090 fűtőszőnyeg alkalmas komfort- és önálló fűtésként is, a külső hőmérséklet és a szigetelés függvényében.
A tervezést és a telepítést kizárólag szakember végezheti (burkoló, villanyszerelő), ezzel biztosítva, hogy a rendszer megfelelően és biztonságosan működjön, és megfeleljen a jótállás feltételeinek.
Ne hagyja ki ezt a lehetőséget, hogy otthonában mindig kellemes meleget teremtsen – rendelje meg a HOME FHW090 fűtőszőnyeget még ma, és élvezze a komfortos padlófűtést minden nap!</t>
        </is>
      </c>
    </row>
    <row r="2245">
      <c r="A2245" s="3" t="inlineStr">
        <is>
          <t>FHC015</t>
        </is>
      </c>
      <c r="B2245" s="2" t="inlineStr">
        <is>
          <t>HOME FHC015 elektromos fűtőszőnyeg hidegburkolat alá, 0,5x3m, 225W, 150W/m2</t>
        </is>
      </c>
      <c r="C2245" s="1" t="n">
        <v>19790.0</v>
      </c>
      <c r="D2245" s="7" t="n">
        <f>HYPERLINK("https://www.somogyi.hu/product/home-fhc015-elektromos-futoszonyeg-hidegburkolat-ala-0-5x3m-225w-150w-m2-fhc015-18871","https://www.somogyi.hu/product/home-fhc015-elektromos-futoszonyeg-hidegburkolat-ala-0-5x3m-225w-150w-m2-fhc015-18871")</f>
        <v>0.0</v>
      </c>
      <c r="E2245" s="7" t="n">
        <f>HYPERLINK("https://www.somogyi.hu/data/img/product_main_images/small/18871.jpg","https://www.somogyi.hu/data/img/product_main_images/small/18871.jpg")</f>
        <v>0.0</v>
      </c>
      <c r="F2245" s="2" t="inlineStr">
        <is>
          <t>5999084968663</t>
        </is>
      </c>
      <c r="G2245" s="4" t="inlineStr">
        <is>
          <t>Szeretne egy hatékony és könnyen telepíthető fűtőszőnyeget hidegburkolat alá, hogy otthonában mindig kellemes meleg legyen? A HOME FHC015 fűtőszőnyeg tökéletes választás, ha hidegburkolat alatti fűtést keres. 
Ez a fűtőszőnyeg kéteres fűtővezetékkel és egyoldali elektromos csatlakoztatással rendelkezik, ami megkönnyíti a telepítést és a bekötést. A szőnyeg fűtési teljesítménye 150 W/m², amely biztosítja a gyors és egyenletes hőelosztást. Az üvegszálas háló öntapadó szalagokkal van ellátva, amelyek egyszerűvé és gyorssá teszik a telepítést. A rendkívül vékony, mindössze 4 mm-es beépítési vastagság biztosítja, hogy a szőnyeg nem emeli meg jelentősen a padlószintet. A fűtővezeték-hurkok közötti távolság kb. 8 cm, ami optimális hőelosztást biztosít a padlófelületen.
A fűtőszőnyeg csatlakozóvezetéke 2,5 méter hosszú kéteres + földelés, amely biztosítja a biztonságos és egyszerű csatlakoztatást. A termék tápellátása 230 V, amely szabványos hálózati feszültség. A fűtőszőnyeg mérete 0,5 m széles és 3 m hosszú, amely 1,5 m²-es területet fed le, fűtési összteljesítménye pedig 225 W.
Fontos megjegyezni, hogy a fűtőszőnyeg nem vágható kisebb méretűre, ezért a tervezés során pontosan mérje fel a szükséges területet. A termék ajánlott vezérlője a Home FHT76WIFI okos termosztát, amely lehetővé teszi a pontos hőmérséklet-szabályozást és a távoli vezérlést. Az FHC015 fűtőszőnyeg ellenállása 235,1 Ω, és alkalmas komfort és/vagy önálló fűtésként is, a külső hőmérséklet és a szigetelés függvényében. 
A tervezést és a telepítést kizárólag szakember végezheti (burkoló, villanyszerelő), ezzel biztosítva, hogy a rendszer megfelelően és biztonságosan működjön, és megfeleljen a jótállás feltételeinek.
Ne hagyja ki a lehetőséget, hogy otthonában mindig kellemes meleget teremtsen – rendelje meg a HOME FHC015 fűtőszőnyeget még ma, és élvezze a komfortos padlófűtést minden nap!</t>
        </is>
      </c>
    </row>
    <row r="2246">
      <c r="A2246" s="6" t="inlineStr">
        <is>
          <t xml:space="preserve">   Szén-monoxid - és füstérzékelők / Szén-monoxid-vészjelző</t>
        </is>
      </c>
      <c r="B2246" s="6" t="inlineStr">
        <is>
          <t/>
        </is>
      </c>
      <c r="C2246" s="6" t="inlineStr">
        <is>
          <t/>
        </is>
      </c>
      <c r="D2246" s="6" t="inlineStr">
        <is>
          <t/>
        </is>
      </c>
      <c r="E2246" s="6" t="inlineStr">
        <is>
          <t/>
        </is>
      </c>
      <c r="F2246" s="6" t="inlineStr">
        <is>
          <t/>
        </is>
      </c>
      <c r="G2246" s="6" t="inlineStr">
        <is>
          <t/>
        </is>
      </c>
    </row>
    <row r="2247">
      <c r="A2247" s="3" t="inlineStr">
        <is>
          <t>FA6813-EU</t>
        </is>
      </c>
      <c r="B2247" s="2" t="inlineStr">
        <is>
          <t>FireAngel FA6813-EU szén-monoxid vészjelző, cserélhető elem, 10 év várható üzemidő, fehér</t>
        </is>
      </c>
      <c r="C2247" s="1" t="n">
        <v>10690.0</v>
      </c>
      <c r="D2247" s="7" t="n">
        <f>HYPERLINK("https://www.somogyi.hu/product/fireangel-fa6813-eu-szen-monoxid-veszjelzo-cserelheto-elem-10-ev-varhato-uzemido-feher-fa6813-eu-18457","https://www.somogyi.hu/product/fireangel-fa6813-eu-szen-monoxid-veszjelzo-cserelheto-elem-10-ev-varhato-uzemido-feher-fa6813-eu-18457")</f>
        <v>0.0</v>
      </c>
      <c r="E2247" s="7" t="n">
        <f>HYPERLINK("https://www.somogyi.hu/data/img/product_main_images/small/18457.jpg","https://www.somogyi.hu/data/img/product_main_images/small/18457.jpg")</f>
        <v>0.0</v>
      </c>
      <c r="F2247" s="2" t="inlineStr">
        <is>
          <t>0816317006686</t>
        </is>
      </c>
      <c r="G2247" s="4" t="inlineStr">
        <is>
          <t>Kérdés, ami felmerülhet Önben: Biztonságban van a szén-monoxid mérgezés ellen? A FireAngel FA6813-EU szén-monoxid vészjelző megbízható védelmet nyújt Önnek és családjának, köszönhetően a fejlett elektrokémiai érzékelő technológiának. 
Ez a készülék megfelel az EN 50291-1 szabványnak, így biztos lehet benne, hogy a legmagasabb biztonsági előírásokat is teljesíti. A vészjelző rendelkezik riasztás memóriával, amely jelzi, ha korábban aktiválódott a CO riasztás, így azonnal értesülhet a veszélyről. A választható teszt hangerő lehetővé teszik, hogy rendszeresen ellenőrizze a készülék működőképességét. Az alacsony elemszint jelzése akár 8 órára is némítható, így nem kell aggódnia az éjszakai zavaró jelzések miatt. A készülék élettartam végén automatikusan figyelmeztet, hogy időben lecserélhesse.
A tápellátást két darab 1,5 V-os (AA) elem biztosítja, melyek cserélhetők, és tartozékként megtalálhatók a csomagban. A készülék széles működési hőmérséklet tartománya -10 °C és +40 °C között van, valamint 25-95% relatív páratartalom mellett is megbízhatóan működik. A FireAngel FA6813-EU szén-monoxid vészjelző várható élettartama 10 év, amelyre 3 év jótállás is érvényes. A kompakt mérete (12 x 7,3 x 3,5 cm) lehetővé teszi, hogy bárhová könnyedén felszerelhető legyen.
Ne várjon tovább! Szerezze be most a FireAngel FA6813-EU szén-monoxid vészjelzőt, és gondoskodjon szerettei biztonságáról!</t>
        </is>
      </c>
    </row>
    <row r="2248">
      <c r="A2248" s="3" t="inlineStr">
        <is>
          <t>FA3820-HUR</t>
        </is>
      </c>
      <c r="B2248" s="2" t="inlineStr">
        <is>
          <t>FireAngel FA3820-HUR szén-monoxid vészjelző, beépített, nem cserélhető lítium elem, 10 év várható üzemidő, fehér</t>
        </is>
      </c>
      <c r="C2248" s="1" t="n">
        <v>15490.0</v>
      </c>
      <c r="D2248" s="7" t="n">
        <f>HYPERLINK("https://www.somogyi.hu/product/fireangel-fa3820-hur-szen-monoxid-veszjelzo-beepitett-nem-cserelheto-litium-elem-10-ev-varhato-uzemido-feher-fa3820-hur-17859","https://www.somogyi.hu/product/fireangel-fa3820-hur-szen-monoxid-veszjelzo-beepitett-nem-cserelheto-litium-elem-10-ev-varhato-uzemido-feher-fa3820-hur-17859")</f>
        <v>0.0</v>
      </c>
      <c r="E2248" s="7" t="n">
        <f>HYPERLINK("https://www.somogyi.hu/data/img/product_main_images/small/17859.jpg","https://www.somogyi.hu/data/img/product_main_images/small/17859.jpg")</f>
        <v>0.0</v>
      </c>
      <c r="F2248" s="2" t="inlineStr">
        <is>
          <t>0816317006525</t>
        </is>
      </c>
      <c r="G2248" s="4" t="inlineStr">
        <is>
          <t>Hogyan védheti meg családját a szén-monoxid okozta veszélyektől? A FireAngel FA3820-HUR szén-monoxid vészjelző a megbízható választás, amely folyamatos biztonságot nyújt otthonában.
Ez a szén-monoxid vészjelző megfelel az EN 50291-1 és EN 50291-2 szabványoknak, így garantálja a legmagasabb szintű biztonságot. A készülék fejlett elektrokémiai érzékelővel van felszerelve, amely gyorsan és pontosan érzékeli a szén-monoxid jelenlétét, figyelmeztetve Önt a veszélyre. A szellőztetés figyelmeztetés segítségével azonnal értesül, ha friss levegőre van szükség, ezzel minimalizálva a kockázatot.
A FireAngel FA3820-HUR beépített tesztüzemmel rendelkezik, amely lehetővé teszi a rendszeres működésellenőrzést, így mindig biztos lehet abban, hogy készüléke megfelelően működik. Az élettartam vége kijelzés figyelmezteti, amikor elérkezik a csere ideje, ezzel biztosítva a folyamatos védelmet. A készülék tápellátását egy beépített, nem cserélhető lítium elem biztosítja, amely akár 10 évig is működőképes, így hosszú távú biztonságot nyújt. A vészjelző -10 °C és +40 °C közötti hőmérsékleten működik, valamint 30-90% relatív páratartalom mellett is megbízhatóan üzemel.
A FireAngel FA3820-HUR készülék várható élettartama 10 év, és 5 év jótállással rendelkezik, amely garantálja a tartósságot és a megbízhatóságot. Kompakt mérete (12,5 x 6,7 x 3,3 cm) lehetővé teszi a diszkrét elhelyezést bármely helyiségben.
Ne habozzon tovább! Szerezze be most a FireAngel FA3820-HUR szén-monoxid vészjelzőt, és gondoskodjon otthona és szerettei biztonságáról! Vásárolja meg még ma, és élvezze a nyugalmat, amit a megbízható védelem nyújt!</t>
        </is>
      </c>
    </row>
    <row r="2249">
      <c r="A2249" s="3" t="inlineStr">
        <is>
          <t>FA SP 1</t>
        </is>
      </c>
      <c r="B2249" s="2" t="inlineStr">
        <is>
          <t>Fireangel Safety pack 1 - gazdaságos CO, füst és hőérzékelő vészjelző csomag</t>
        </is>
      </c>
      <c r="C2249" s="1" t="n">
        <v>56990.0</v>
      </c>
      <c r="D2249" s="7" t="n">
        <f>HYPERLINK("https://www.somogyi.hu/product/fireangel-safety-pack-1-gazdasagos-co-fust-es-hoerzekelo-veszjelzo-csomag-fa-sp-1-18247","https://www.somogyi.hu/product/fireangel-safety-pack-1-gazdasagos-co-fust-es-hoerzekelo-veszjelzo-csomag-fa-sp-1-18247")</f>
        <v>0.0</v>
      </c>
      <c r="E2249" s="7" t="n">
        <f>HYPERLINK("https://www.somogyi.hu/data/img/product_main_images/small/18247.jpg","https://www.somogyi.hu/data/img/product_main_images/small/18247.jpg")</f>
        <v>0.0</v>
      </c>
      <c r="F2249" s="2" t="inlineStr">
        <is>
          <t>5999084962692</t>
        </is>
      </c>
      <c r="G2249" s="4" t="inlineStr">
        <is>
          <t>Ismerkedjen meg a FireAngel Safety Pack 1-el, a kínálatunkban megtalálható gazdaságos CO, füst és hőérzékelő vészjelző csomaggal! Ez a praktikus lakossági vészjelző csomag ideális választás, hiszen mindent tartalmaz, amire szüksége lehet családja és otthona biztonságának növeléséhez!
A csomag tartalma:
1 db FA3820-HUR FireAngel Szén-monoxid vészjelző
    3 db FA6120-INT FireAngel füstjelző
    1 db FA6111-INT FireAngel füstjelző
    1 db FA6215-INT FireAngel hőérzékelő
A csomagban megtalálható összesen 6 db vészjelző segítségével könnyedén és gyorsan építhet kihelyi szén monoxid mérgezések és tűzesetek elleni védelmet otthonában. A csomag ideális például az alábbi típuslakáshoz: amerikai konyhás nappalihoz, ahol gáztűzhely található, valamint 3 hálószobához és folyosóhoz.
Tegyen Ön is családja és otthona biztonságáért! Válassza a FireAngel Safety Pack 1 csomagot, és biztosítsa be lakását hatékony tűz- és szén-monoxid mérgezés elleni védelemmel.</t>
        </is>
      </c>
    </row>
    <row r="2250">
      <c r="A2250" s="3" t="inlineStr">
        <is>
          <t>FA SP 2</t>
        </is>
      </c>
      <c r="B2250" s="2" t="inlineStr">
        <is>
          <t>Fireangel Safety pack 2 - gazdaságos CO, füst és hőérzékelő vészjelző csomag</t>
        </is>
      </c>
      <c r="C2250" s="1" t="n">
        <v>42390.0</v>
      </c>
      <c r="D2250" s="7" t="n">
        <f>HYPERLINK("https://www.somogyi.hu/product/fireangel-safety-pack-2-gazdasagos-co-fust-es-hoerzekelo-veszjelzo-csomag-fa-sp-2-18248","https://www.somogyi.hu/product/fireangel-safety-pack-2-gazdasagos-co-fust-es-hoerzekelo-veszjelzo-csomag-fa-sp-2-18248")</f>
        <v>0.0</v>
      </c>
      <c r="E2250" s="7" t="n">
        <f>HYPERLINK("https://www.somogyi.hu/data/img/product_main_images/small/18248.jpg","https://www.somogyi.hu/data/img/product_main_images/small/18248.jpg")</f>
        <v>0.0</v>
      </c>
      <c r="F2250" s="2" t="inlineStr">
        <is>
          <t>5999084962708</t>
        </is>
      </c>
      <c r="G2250" s="4" t="inlineStr">
        <is>
          <t>Ismerkedjen meg a FireAngel Safety Pack 2-vel, a kínálatunkban megtalálható gazdaságos CO, füst és hőérzékelő vészjelző csomaggal! Ez a praktikus lakossági vészjelző csomag ideális választás, hiszen mindent tartalmaz, amire szüksége lehet családja és otthona biztonságának növeléséhez!
A csomag tartalma:
1 db FA3820-HUR FireAngel Szén-monoxid vészjelző
1 db FA6120-INT FireAngel füstjelző
1 db FA6111-INT FireAngel füstjelző
1 db FA6215-INT FireAngel hőérzékelő
A csomagban megtalálható összesen 4 db vészjelző segítségével könnyedén és gyorsan építhet kihelyi szén monoxid mérgezések és tűzesetek elleni védelmet otthonában. A csomag ideális például az alábbi típuslakáshoz: amerikai konyhás nappalihoz, ahol gáztűzhely található, valamint 1 hálószobához és folyosóhoz.
Tegyen Ön is családja és otthona biztonságáért! Válassza a FireAngel Safety Pack 2 csomagot, és biztosítsa be lakását hatékony tűz- és szén-monoxid mérgezés elleni védelemmel.</t>
        </is>
      </c>
    </row>
    <row r="2251">
      <c r="A2251" s="3" t="inlineStr">
        <is>
          <t>FA SP 3</t>
        </is>
      </c>
      <c r="B2251" s="2" t="inlineStr">
        <is>
          <t>Fireangel Safety pack 3 - gazdaságos  füst és hőérzékelő vészjelző csomag</t>
        </is>
      </c>
      <c r="C2251" s="1" t="n">
        <v>36490.0</v>
      </c>
      <c r="D2251" s="7" t="n">
        <f>HYPERLINK("https://www.somogyi.hu/product/fireangel-safety-pack-3-gazdasagos-fust-es-hoerzekelo-veszjelzo-csomag-fa-sp-3-18249","https://www.somogyi.hu/product/fireangel-safety-pack-3-gazdasagos-fust-es-hoerzekelo-veszjelzo-csomag-fa-sp-3-18249")</f>
        <v>0.0</v>
      </c>
      <c r="E2251" s="7" t="n">
        <f>HYPERLINK("https://www.somogyi.hu/data/img/product_main_images/small/18249.jpg","https://www.somogyi.hu/data/img/product_main_images/small/18249.jpg")</f>
        <v>0.0</v>
      </c>
      <c r="F2251" s="2" t="inlineStr">
        <is>
          <t>5999084962715</t>
        </is>
      </c>
      <c r="G2251" s="4" t="inlineStr">
        <is>
          <t>Ismerkedjen meg a FireAngel Safety Pack 3-al, a kínálatunkban megtalálható gazdaságos füst és hőérzékelelő vészjelző csomaggal! Ez a praktikus lakossági vészjelző csomag ideális választás, hiszen mindent tartalmaz, amire szüksége lehet családja és otthona biztonságának növeléséhez!
A csomag tartalma:
    2 db FA6120-INT FireAngel füstjelző
    1 db FA6111-INT FireAngel füstjelző
    1 db FA6215-INT FireAngel hőérzékelő
A csomagban megtalálható összesen 4 db vészjelző segítségével könnyedén és gyorsan építhet ki helyi tűzesetek elleni védelmet otthonában. A csomag ideális például az alábbi típuslakáshoz: amerikai konyhás nappalihoz, ahol elektromos tűzhely található, valamint 2 hálószobához és folyosóhoz.
Tegyen Ön is csládja és otthona biztonságáért! Válassza a FireAngel Safety Pack 3 csomagot, és biztosítsa be lakását hatékony tűzvédelemmel.</t>
        </is>
      </c>
    </row>
    <row r="2252">
      <c r="A2252" s="3" t="inlineStr">
        <is>
          <t>CO10LCD</t>
        </is>
      </c>
      <c r="B2252" s="2" t="inlineStr">
        <is>
          <t>HOME CO10LCD szén-monoxid vészjelző, LCD kijelző , elemes, 2 év elem élettartam, 10 év érzékelő élettartam</t>
        </is>
      </c>
      <c r="C2252" s="1" t="n">
        <v>9190.0</v>
      </c>
      <c r="D2252" s="7" t="n">
        <f>HYPERLINK("https://www.somogyi.hu/product/home-co10lcd-szen-monoxid-veszjelzo-lcd-kijelzo-elemes-2-ev-elem-elettartam-10-ev-erzekelo-elettartam-co10lcd-18458","https://www.somogyi.hu/product/home-co10lcd-szen-monoxid-veszjelzo-lcd-kijelzo-elemes-2-ev-elem-elettartam-10-ev-erzekelo-elettartam-co10lcd-18458")</f>
        <v>0.0</v>
      </c>
      <c r="E2252" s="7" t="n">
        <f>HYPERLINK("https://www.somogyi.hu/data/img/product_main_images/small/18458.jpg","https://www.somogyi.hu/data/img/product_main_images/small/18458.jpg")</f>
        <v>0.0</v>
      </c>
      <c r="F2252" s="2" t="inlineStr">
        <is>
          <t>5999084964764</t>
        </is>
      </c>
      <c r="G2252" s="4" t="inlineStr">
        <is>
          <t>Aggódik a szén-monoxid okozta veszélyek miatt otthonában? A Home CO10LCD szén-monoxid vészjelző tökéletes megoldás, hogy nyugodt lehessen, és biztosítsa családja biztonságát. 
Ez a készülék a legmodernebb technológiával rendelkezik, hogy megbízhatóan érzékelje a szén-monoxid jelenlétét és időben figyelmeztessen a veszélyre.
Megfelel az EN 50291-1:2018 szabványnak, garantálva a magas szintű megbízhatóságot és pontosságot. A fejlett elektrokémiai érzékelő érzékenyen reagál a szén-monoxid szintjének emelkedésére, biztosítva, hogy mindig időben értesüljön a veszélyről. Az LCD kijelzőn folyamatosan nyomon követheti a szén-monoxid szintjét és a készülék állapotát.
A készülékteszt-üzemmód és a teszt gomb lehetővé teszi, hogy bármikor ellenőrizze a vészjelző működését, biztosítva ezzel a folyamatos védelmet. Az élettartam vége kijelzés figyelmezteti, amikor a készülék cserére szorul, így mindig biztos lehet abban, hogy a vészjelző működőképes.
A Home CO10LCD tápellátását 2 db 1,5 V-os (AA) elem biztosítja, amelyek tartozékként járnak a készülékhez. Az elem várható élettartama körülbelül 2 év, és a készülék figyelmeztetést ad, amikor az elemek cserére szorulnak. A készülék élettartama 10 év, így hosszú távú védelmet nyújt otthonában.
A vészjelző riasztása 85 dB(A) erősségű 3 méter távolságból, így biztos lehet benne, hogy a figyelmeztetés mindig hallható lesz. A készülék kompakt méretei (140 x 70 x 28 mm) és könnyű súlya (153 g) lehetővé teszik, hogy bárhol egyszerűen elhelyezze otthonában.
Ne bízza a véletlenre családja biztonságát – válassza a Home CO10LCD szén-monoxid vészjelzőt, és élvezze a nyugalmat, amit a megbízható védelem nyújt!</t>
        </is>
      </c>
    </row>
    <row r="2253">
      <c r="A2253" s="3" t="inlineStr">
        <is>
          <t>NM-CO-10X-INT</t>
        </is>
      </c>
      <c r="B2253" s="2" t="inlineStr">
        <is>
          <t>FireAngel NM-CO-10X-INT szén-monoxid vészjelző, beépített, nem cserélhető lítium elem, 10 év várható üzemidő, W2-modulal hálózatba kapcsolható, fehér</t>
        </is>
      </c>
      <c r="C2253" s="1" t="n">
        <v>28990.0</v>
      </c>
      <c r="D2253" s="7" t="n">
        <f>HYPERLINK("https://www.somogyi.hu/product/fireangel-nm-co-10x-int-szen-monoxid-veszjelzo-beepitett-nem-cserelheto-litium-elem-10-ev-varhato-uzemido-w2-modulal-halozatba-kapcsolhato-feher-nm-co-10x-int-17946","https://www.somogyi.hu/product/fireangel-nm-co-10x-int-szen-monoxid-veszjelzo-beepitett-nem-cserelheto-litium-elem-10-ev-varhato-uzemido-w2-modulal-halozatba-kapcsolhato-feher-nm-co-10x-int-17946")</f>
        <v>0.0</v>
      </c>
      <c r="E2253" s="7" t="n">
        <f>HYPERLINK("https://www.somogyi.hu/data/img/product_main_images/small/17946.jpg","https://www.somogyi.hu/data/img/product_main_images/small/17946.jpg")</f>
        <v>0.0</v>
      </c>
      <c r="F2253" s="2" t="inlineStr">
        <is>
          <t>0816317004941</t>
        </is>
      </c>
      <c r="G2253" s="4" t="inlineStr">
        <is>
          <t>Szeretné, ha otthona minden pillanatban a legmagasabb biztonságban lenne? A FireAngel NM-CO-10X-INT szén-monoxid vészjelző pontosan úgy lett kifejlesztve, hogy ezt garantálhassa Önnek!
A termék az EN 50291-1 és EN 50291-2 szabványoknak laborvizsgálattal igazoltan megfelel. A készülékház UL94 V0 lángálló műanyagból készült. A CO szenzor tesztüzemmód lehetővé teszi a rendszeres ellenőrzést, míg az élettartam vége jelzés időben figyelmeztet a készülék cseréjére. A vészjelző tápellátását beépített, nem cserélhető lítium elem biztosítja, melynek várható üzemideje 10 év, megfelelő körülmények (-10 °C és +40 °C közötti hőmérséklet; 30-90% közötti relatív páratartalom) közti használat mellett. A NM-CO-10X-INT szén-monoxid érzékelő a FireAngel W2 (WiSafe2), Z-Wave és Zigbee modulok befogadására tökéletesen alkalmas, így akár 50 másik szén-monoxid, hő és/vagy füstérzékelővel hálózatba kapcsolható.
Üzembe helyezés előtt figyelmesen olvassa el a termék használati útmutatóját! A garancia ideje 10 év, a készülék várható élettartama 10 év. Tegyen otthona biztonságáért még ma!</t>
        </is>
      </c>
    </row>
    <row r="2254">
      <c r="A2254" s="3" t="inlineStr">
        <is>
          <t>FA3322-INT</t>
        </is>
      </c>
      <c r="B2254" s="2" t="inlineStr">
        <is>
          <t>FireAngel FA3322-INT szén-monoxid vészjelző, beépített, nem cserélhető lítium elem, 10 év várható üzemidő, LCD kijelző, fehér</t>
        </is>
      </c>
      <c r="C2254" s="1" t="n">
        <v>17290.0</v>
      </c>
      <c r="D2254" s="7" t="n">
        <f>HYPERLINK("https://www.somogyi.hu/product/fireangel-fa3322-int-szen-monoxid-veszjelzo-beepitett-nem-cserelheto-litium-elem-10-ev-varhato-uzemido-lcd-kijelzo-feher-fa3322-int-17864","https://www.somogyi.hu/product/fireangel-fa3322-int-szen-monoxid-veszjelzo-beepitett-nem-cserelheto-litium-elem-10-ev-varhato-uzemido-lcd-kijelzo-feher-fa3322-int-17864")</f>
        <v>0.0</v>
      </c>
      <c r="E2254" s="7" t="n">
        <f>HYPERLINK("https://www.somogyi.hu/data/img/product_main_images/small/17864.jpg","https://www.somogyi.hu/data/img/product_main_images/small/17864.jpg")</f>
        <v>0.0</v>
      </c>
      <c r="F2254" s="2" t="inlineStr">
        <is>
          <t>0816317005979</t>
        </is>
      </c>
      <c r="G2254" s="4" t="inlineStr">
        <is>
          <t>Szeretne maximális biztonságban élni és megóvni szeretteit a szén-monoxid mérgezés veszélyeitől? Használjon otthonában az informatív LCD kijelzős FireAngel FA3322-INT szén-monoxid vészjelzőt!
Ez a készülék az EN 50291-1 és EN 50291-2 szabványoknak laborvizsgálattal igazoltan megfelel. A fejlett elektrokémiai érzékelőjének köszönhetően pontosan és időben észleli a veszélyt. Számos funkciója hozzásegíti Önt ahhoz, hogy otthonában biztonságban érezze magát, továbbá kényelmes és egyértelmű használatot nyújt. Többek között rendelkezik szellőztetésre figyelmeztetéssel, szélsőséges hőmérséklet és páratartalom érték  figyelmeztetéssel,  CO szenzor tesztüzemmóddal és élettartam vége kijelzéssel. A vészjelző tápellátását beépített, nem cserélhető lítium elem biztosítja, melynek várható üzemideje 10 év, megfelelő körülmények (-10 °C és +40 °C közötti hőmérséklet; 30-90% közötti relatív páratartalom) közti használat mellett. Ez a szén-monoxid vészjelző háztartási használatra, valamint lakókocsikban, lakóautókban és vitorlásokon történő felhasználásra készült.
Üzembe helyezés előtt figyelmesen olvassa el a termék használati útmutatóját! A garancia ideje 5 év.</t>
        </is>
      </c>
    </row>
    <row r="2255">
      <c r="A2255" s="3" t="inlineStr">
        <is>
          <t>CO10SMART</t>
        </is>
      </c>
      <c r="B2255" s="2" t="inlineStr">
        <is>
          <t>Home CO10SMART szén-monoxid vészjelző, Tuya kompatibilis, Wi-Fi kapcsolat , LCD kijelző, elemes, 5 év elem élettartam, 10 év érzékelő élettartam</t>
        </is>
      </c>
      <c r="C2255" s="1" t="n">
        <v>12690.0</v>
      </c>
      <c r="D2255" s="7" t="n">
        <f>HYPERLINK("https://www.somogyi.hu/product/home-co10smart-szen-monoxid-veszjelzo-tuya-kompatibilis-wi-fi-kapcsolat-lcd-kijelzo-elemes-5-ev-elem-elettartam-10-ev-erzekelo-elettartam-co10smart-18459","https://www.somogyi.hu/product/home-co10smart-szen-monoxid-veszjelzo-tuya-kompatibilis-wi-fi-kapcsolat-lcd-kijelzo-elemes-5-ev-elem-elettartam-10-ev-erzekelo-elettartam-co10smart-18459")</f>
        <v>0.0</v>
      </c>
      <c r="E2255" s="7" t="n">
        <f>HYPERLINK("https://www.somogyi.hu/data/img/product_main_images/small/18459.jpg","https://www.somogyi.hu/data/img/product_main_images/small/18459.jpg")</f>
        <v>0.0</v>
      </c>
      <c r="F2255" s="2" t="inlineStr">
        <is>
          <t>5999084964771</t>
        </is>
      </c>
      <c r="G2255" s="4" t="inlineStr">
        <is>
          <t>Gondolkozott már azon, hogyan védhetné meg otthonát és családját a szén-monoxid veszélyeitől? A Home CO10SMART okos szén-monoxid vészjelző ideális választás, ha megbízható és intelligens megoldást keres a szén-monoxid mérgezés megelőzésére. 
Ez a vészjelző a legmodernebb technológiával van felszerelve, hogy mindig biztonságban tudhassa szeretteit. A készülék megfelel az EN 50291-1:2018 szabványnak, ami garantálja a megbízható és pontos érzékelést. A Tuya Smart és Smart Life kompatibilitásnak köszönhetően Wi-Fi kapcsolaton keresztül könnyedén integrálható okosotthon rendszerébe. A Wi-Fi kapcsolat 802.11 b/g/n szabványon alapul, és 2.412-2.472GHz frekvencián működik, így biztosítva a stabil és gyors adatátvitelt.
A Home CO10SMART fejlett elektrokémiai érzékelővel rendelkezik, amely pontosan és megbízhatóan érzékeli a szén-monoxid jelenlétét. Az LCD kijelzőn könnyedén nyomon követheti a készülék állapotát és a szén-monoxid szintjét. A készülékteszt-üzemmód és a teszt gomb segítségével bármikor ellenőrizheti a vészjelző működését. Az élettartam vége kijelzés figyelmezteti, amikor a készülék vagy az elem cserére szorul.
A vészjelző tápellátását 1 db 3 V-os (CR123A) elem biztosítja, amely cserélhető és tartozékként jár a készülékhez. Az elem várható élettartama kb. 5 év, míg a készüléké 10 év. Az elemélettartam vége kijelzés figyelmezteti, amikor az elem cserére szorul. A riasztás hangereje 85 dB(A) 3 méter távolságból, így biztos lehet benne, hogy időben értesül a veszélyről.
A Home CO10SMART kompakt méretekkel rendelkezik (86,5 x 86,5 x 30,5 mm) és könnyű súlyával (110 g) egyszerűen telepíthető bárhol otthonában.
Ne hagyja, hogy a szén-monoxid veszélyeztessen otthonában – válassza a Home CO10SMART szén-monoxid vészjelzőt, és biztosítsa családja biztonságát a legmodernebb technológiával!</t>
        </is>
      </c>
    </row>
    <row r="2256">
      <c r="A2256" s="6" t="inlineStr">
        <is>
          <t xml:space="preserve">   Szén-monoxid - és füstérzékelők / Füstérzékelő, tűzérzékelő</t>
        </is>
      </c>
      <c r="B2256" s="6" t="inlineStr">
        <is>
          <t/>
        </is>
      </c>
      <c r="C2256" s="6" t="inlineStr">
        <is>
          <t/>
        </is>
      </c>
      <c r="D2256" s="6" t="inlineStr">
        <is>
          <t/>
        </is>
      </c>
      <c r="E2256" s="6" t="inlineStr">
        <is>
          <t/>
        </is>
      </c>
      <c r="F2256" s="6" t="inlineStr">
        <is>
          <t/>
        </is>
      </c>
      <c r="G2256" s="6" t="inlineStr">
        <is>
          <t/>
        </is>
      </c>
    </row>
    <row r="2257">
      <c r="A2257" s="3" t="inlineStr">
        <is>
          <t>FA6120-INT</t>
        </is>
      </c>
      <c r="B2257" s="2" t="inlineStr">
        <is>
          <t>FireAngel FA6120-INT optikai füstérzékelő, beépített, nem cserélhető lítium elem, 10 év várható üzemidő, fehér</t>
        </is>
      </c>
      <c r="C2257" s="1" t="n">
        <v>10790.0</v>
      </c>
      <c r="D2257" s="7" t="n">
        <f>HYPERLINK("https://www.somogyi.hu/product/fireangel-fa6120-int-optikai-fusterzekelo-beepitett-nem-cserelheto-litium-elem-10-ev-varhato-uzemido-feher-fa6120-int-17908","https://www.somogyi.hu/product/fireangel-fa6120-int-optikai-fusterzekelo-beepitett-nem-cserelheto-litium-elem-10-ev-varhato-uzemido-feher-fa6120-int-17908")</f>
        <v>0.0</v>
      </c>
      <c r="E2257" s="7" t="n">
        <f>HYPERLINK("https://www.somogyi.hu/data/img/product_main_images/small/17908.jpg","https://www.somogyi.hu/data/img/product_main_images/small/17908.jpg")</f>
        <v>0.0</v>
      </c>
      <c r="F2257" s="2" t="inlineStr">
        <is>
          <t>0816317006402</t>
        </is>
      </c>
      <c r="G2257" s="4" t="inlineStr">
        <is>
          <t>Egy megbízható eszközt keres, ami időben észleli a veszélyes füstöt otthonában? A FireAngel FA6120-INT optikai füstérzékelő lehet az ideális vészjelző az Ön számára!
A készülék az EN 14604 szabványnak laborvizsgálattal igazoltan megfelel. A készülékbe beépített optikai füstérzékelő biztosítja, hogy vészhelyzet esetén elég ideje legyen a menekülésre.  A praktikus funkciók, mint csendes teszt, a könnyű alvás funkció és az élettartam vége jelzés gondoskodnak nem csupán az Ön biztonságáról, hanem kényelméről is. A vészjelző tápellátását beépített, nem cserélhető lítium elem biztosítja, melynek várható üzemideje 10 év, megfelelő működési hőmérséklet (+4 °C - +38 °C) mellett. A FireAngel FA6120-INT optikai füstérzékelő nem csupán a háztartásokban, hanem lakókocsikban és mobil házakban is használható.
Üzembe helyezés előtt figyelmesen olvassa el a termék használati útmutatóját! A garancia ideje 5 év, a készülék várható élettartama 10 év.</t>
        </is>
      </c>
    </row>
    <row r="2258">
      <c r="A2258" s="3" t="inlineStr">
        <is>
          <t>SMO 10</t>
        </is>
      </c>
      <c r="B2258" s="2" t="inlineStr">
        <is>
          <t>Home SMO 10 füstérzékelő, beépített akkumulátor, 10 év várható üzemidő, fehér</t>
        </is>
      </c>
      <c r="C2258" s="1" t="n">
        <v>7990.0</v>
      </c>
      <c r="D2258" s="7" t="n">
        <f>HYPERLINK("https://www.somogyi.hu/product/home-smo-10-fusterzekelo-beepitett-akkumulator-10-ev-varhato-uzemido-feher-smo-10-17785","https://www.somogyi.hu/product/home-smo-10-fusterzekelo-beepitett-akkumulator-10-ev-varhato-uzemido-feher-smo-10-17785")</f>
        <v>0.0</v>
      </c>
      <c r="E2258" s="7" t="n">
        <f>HYPERLINK("https://www.somogyi.hu/data/img/product_main_images/small/17785.jpg","https://www.somogyi.hu/data/img/product_main_images/small/17785.jpg")</f>
        <v>0.0</v>
      </c>
      <c r="F2258" s="2" t="inlineStr">
        <is>
          <t>5999084958077</t>
        </is>
      </c>
      <c r="G2258" s="4" t="inlineStr">
        <is>
          <t>Biztonságban szeretné tudni szeretteit és otthonát? Az SMO 10 füstérzékelő az optikai elvű érzékelésnek köszönhetően nagyfokú megbízhatósággal működik.
Az erőteljes, 85 dB-es szirénának köszönhetően, időben értesülhet a vészhelyzetről, melyet a némítás funkcióval szükség esetén el is némíthat. Beépített LED pontosan tájékoztatja Önt a készülék állapotáról. Az SMO 10 füstriasztó egyszerűen és gyorsan telepíthető. A vészjelző tápellátását beépített, nem cserélhető lítium elem biztosítja, melynek várható üzemideje 10 év, megfelelő üzemelési körülmények közt.
Üzembe helyezés előtt figyelmesen olvassa el a termék használati útmutatóját!</t>
        </is>
      </c>
    </row>
    <row r="2259">
      <c r="A2259" s="3" t="inlineStr">
        <is>
          <t>SMO 01</t>
        </is>
      </c>
      <c r="B2259" s="2" t="inlineStr">
        <is>
          <t>Home SMO 01 füstérzékelő, elemes, 85 dB, LED, fehér</t>
        </is>
      </c>
      <c r="C2259" s="1" t="n">
        <v>4090.0</v>
      </c>
      <c r="D2259" s="7" t="n">
        <f>HYPERLINK("https://www.somogyi.hu/product/home-smo-01-fusterzekelo-elemes-85-db-led-feher-smo-01-15740","https://www.somogyi.hu/product/home-smo-01-fusterzekelo-elemes-85-db-led-feher-smo-01-15740")</f>
        <v>0.0</v>
      </c>
      <c r="E2259" s="7" t="n">
        <f>HYPERLINK("https://www.somogyi.hu/data/img/product_main_images/small/15740.jpg","https://www.somogyi.hu/data/img/product_main_images/small/15740.jpg")</f>
        <v>0.0</v>
      </c>
      <c r="F2259" s="2" t="inlineStr">
        <is>
          <t>5999084937744</t>
        </is>
      </c>
      <c r="G2259" s="4" t="inlineStr">
        <is>
          <t>Hogyan biztosíthatja otthona biztonságát a leghatékonyabban egy füstérzékelő segítségével? A Home SMO 01 füstérzékelő az ideális választás minden háztartás számára, amely megbízható és egyszerűen telepíthető megoldást keres.
Ez a füstérzékelő nagyfokú megbízhatóságot nyújt, amely garantálja a biztonságot a nap 24 órájában. Az erőteljes, 85 dB(A) sziréna azonnal figyelmezteti a háztartás tagjait a füst jelenlétére, így gyorsan cselekedhetnek. A némítás funkció lehetőséget biztosít az esetleges téves riasztások egyszerű kikapcsolására, így nem kell aggódnia a felesleges zaj miatt.
A Home SMO 01 LED állapotjelzéssel rendelkezik, amely folyamatosan tájékoztat az eszköz működési állapotáról. Az egyszerű telepítésnek köszönhetően gyorsan és könnyedén elhelyezhető a kívánt helyen. A készülék 1 x 9 V (6F22) elemmel működik, amely tartozékként jár a csomaghoz, így azonnal használatba vehető. Kompakt mérete (∅10,1 x 3,4 cm) révén diszkréten illeszkedik otthona bármely helyiségébe.
Ne kockáztassa szerettei és otthona biztonságát! Szerezze be most a Home SMO 01 füstérzékelőt, és élvezze a nyugalmat, amit ez a kiváló eszköz nyújt! Vásárolja meg még ma, és biztosítsa otthona védelmét minden nap!</t>
        </is>
      </c>
    </row>
    <row r="2260">
      <c r="A2260" s="3" t="inlineStr">
        <is>
          <t>SMO10SMART</t>
        </is>
      </c>
      <c r="B2260" s="2" t="inlineStr">
        <is>
          <t>Home SMO10SMART optikai füstérzékelő, Tuya Smart és Smart Life kompatibilis, Wi-Fi kapcsolat, 10 év elem élettartam, 2400 mAh</t>
        </is>
      </c>
      <c r="C2260" s="1" t="n">
        <v>14190.0</v>
      </c>
      <c r="D2260" s="7" t="n">
        <f>HYPERLINK("https://www.somogyi.hu/product/home-smo10smart-optikai-fusterzekelo-tuya-smart-es-smart-life-kompatibilis-wi-fi-kapcsolat-10-ev-elem-elettartam-2400-mah-smo10smart-18461","https://www.somogyi.hu/product/home-smo10smart-optikai-fusterzekelo-tuya-smart-es-smart-life-kompatibilis-wi-fi-kapcsolat-10-ev-elem-elettartam-2400-mah-smo10smart-18461")</f>
        <v>0.0</v>
      </c>
      <c r="E2260" s="7" t="n">
        <f>HYPERLINK("https://www.somogyi.hu/data/img/product_main_images/small/18461.jpg","https://www.somogyi.hu/data/img/product_main_images/small/18461.jpg")</f>
        <v>0.0</v>
      </c>
      <c r="F2260" s="2" t="inlineStr">
        <is>
          <t>5999084964795</t>
        </is>
      </c>
      <c r="G2260" s="4" t="inlineStr">
        <is>
          <t>Szeretné otthonát és szeretteit biztonságban tudni? A Home SMO10SMART optikai füstérzékelő az Ön számára ideális megoldás, ha egy megbízható, intelligens és könnyen kezelhető tűzvédelmi eszközt keres. 
Ez a füstérzékelő a legkorszerűbb technológiával rendelkezik, amely garantálja a biztonságot és nyugalmat otthonában, megfelel az EN14604:2005/AC:2008 szabványnak, biztosítva a magas szintű megbízhatóságot és pontosságot. A Tuya Smart és Smart Life kompatibilitás lehetővé teszi, hogy értesítéseket kapjon az elem szintjéről és a készülék állapotáról az applikáción keresztül. A 802.11 b/g/n Wi-Fi kapcsolat stabil és gyors adatátvitelt biztosít, így mindig naprakész információkhoz juthat.
A Home SMO10SMART optikai érzékelővel rendelkezik, amely gyorsan és hatékonyan érzékeli a füstöt. A nagy, könnyen használható teszt gombbal bármikor ellenőrizheti a készülék működését, a némítás funkció pedig lehetővé teszi a riasztás ideiglenes kikapcsolását szükség esetén. A készülék -10 °C és +55 °C közötti hőmérsékleten működik megbízhatóan, így széles körű felhasználást biztosít.
A füstérzékelő beépített, 2400mAh kapacitású, nem cserélhető lítium elemmel működik, amely 10 év várható üzemidőt biztosít. Az elem élettartamának vége kijelzés figyelmezteti Önt, amikor a készülék cserére szorul. A 85 dB(A) erősségű riasztás biztosítja, hogy a figyelmeztetés mindig jól hallható legyen, így lakóautókban is használható.
A Home SMO10SMART optikai füstérzékelő kompakt méretekkel rendelkezik (∅105 x 36 mm) és könnyű súlya (140 g) lehetővé teszi, hogy bárhol egyszerűen elhelyezze otthonában.
Ne kockáztasson, válassza a Home SMO10SMART optikai füstérzékelőt, és gondoskodjon otthona és családja biztonságáról a legmodernebb technológia segítségével!</t>
        </is>
      </c>
    </row>
    <row r="2261">
      <c r="A2261" s="3" t="inlineStr">
        <is>
          <t>HT-630-NEUT</t>
        </is>
      </c>
      <c r="B2261" s="2" t="inlineStr">
        <is>
          <t>FireAngel HT-630-NEUT Thermistek hőérzékelő, beépített, nem cserélhető lítium elem, 10 év várható üzemidő, W2-modulal hálózatba kapcsolható, fehér</t>
        </is>
      </c>
      <c r="C2261" s="1" t="n">
        <v>18090.0</v>
      </c>
      <c r="D2261" s="7" t="n">
        <f>HYPERLINK("https://www.somogyi.hu/product/fireangel-ht-630-neut-thermistek-hoerzekelo-beepitett-nem-cserelheto-litium-elem-10-ev-varhato-uzemido-w2-modulal-halozatba-kapcsolhato-feher-ht-630-neut-17554","https://www.somogyi.hu/product/fireangel-ht-630-neut-thermistek-hoerzekelo-beepitett-nem-cserelheto-litium-elem-10-ev-varhato-uzemido-w2-modulal-halozatba-kapcsolhato-feher-ht-630-neut-17554")</f>
        <v>0.0</v>
      </c>
      <c r="E2261" s="7" t="n">
        <f>HYPERLINK("https://www.somogyi.hu/data/img/product_main_images/small/17554.jpg","https://www.somogyi.hu/data/img/product_main_images/small/17554.jpg")</f>
        <v>0.0</v>
      </c>
      <c r="F2261" s="2" t="inlineStr">
        <is>
          <t>0816317003968</t>
        </is>
      </c>
      <c r="G2261" s="4" t="inlineStr">
        <is>
          <t>Szeretné, ha otthona minden pillanatban a legmagasabb biztonságban lenne? Telepítse a FireAngel HT-630-NEUT hőérzékelőt, mely a beépített Thermistek technológiás hőérzékelő megoldással gyorsan érzékeli a hevesen lángoló tüzeket. Ideális megoldás konyha, garázs és tetőtér tűzvédelmére.
A készülék az EN 5446-2 szabványnak laborvizsgálattal igazoltan megfelel. A praktikus funkciók, mint tesztüzemmód, élettartam vége jelzés gondoskodnak nem csupán az Ön biztonságáról, hanem kényelméről is. A vészjelző tápellátását beépített, nem cserélhető lítium elem biztosítja, melynek várható üzemideje 10 év, megfelelő működési hőmérséklet (+4 °C - +38 °C) mellett. A készülékház UL94 V0 lángálló műanyagból készült. A HT-630-INT hőérzékelőt a FireAngel W2 (WiSafe2), Z-Wave és Zigbee modulok befogadására tökéletesen alkalmas, így akár 50 másik szén-monoxid hő és/vagy füstérzékelővel hálózatba kapcsolható.
Üzembe helyezés előtt figyelmesen olvassa el a termék használati útmutatóját! A garancia ideje 10 év, a készülék várható élettartama 10 év. Tegyen otthona biztonságáért még ma!</t>
        </is>
      </c>
    </row>
    <row r="2262">
      <c r="A2262" s="3" t="inlineStr">
        <is>
          <t>ST-630-INT</t>
        </is>
      </c>
      <c r="B2262" s="2" t="inlineStr">
        <is>
          <t>FireAngel ST-630-INT hő- és füstérzékelő, kombinált, Thermoptek multiszenzor, lángálló műanyag, tesztüzemmód, ~10 év élettartam, hálózatba kapcsolható</t>
        </is>
      </c>
      <c r="C2262" s="1" t="n">
        <v>18990.0</v>
      </c>
      <c r="D2262" s="7" t="n">
        <f>HYPERLINK("https://www.somogyi.hu/product/fireangel-st-630-int-ho-es-fusterzekelo-kombinalt-thermoptek-multiszenzor-langallo-muanyag-tesztuzemmod-10-ev-elettartam-halozatba-kapcsolhato-st-630-int-17553","https://www.somogyi.hu/product/fireangel-st-630-int-ho-es-fusterzekelo-kombinalt-thermoptek-multiszenzor-langallo-muanyag-tesztuzemmod-10-ev-elettartam-halozatba-kapcsolhato-st-630-int-17553")</f>
        <v>0.0</v>
      </c>
      <c r="E2262" s="7" t="n">
        <f>HYPERLINK("https://www.somogyi.hu/data/img/product_main_images/small/17553.jpg","https://www.somogyi.hu/data/img/product_main_images/small/17553.jpg")</f>
        <v>0.0</v>
      </c>
      <c r="F2262" s="2" t="inlineStr">
        <is>
          <t>0816317004491</t>
        </is>
      </c>
      <c r="G2262" s="4" t="inlineStr">
        <is>
          <t>Szeretné, ha otthona minden pillanatban a legmagasabb biztonságban lenne? Telepítse a FireAngel ST-630-INT kombinált hő-és füstérzékelőt, mely a beépített Thermoptek multiszenzornak köszönhetően ötvözi a legkorszerűbb optikai érzékelést a hőérzékeléssel, így egyaránt gyorsan érzékeli a hevesen lángoló és a parázsló tüzeket is.
A készülék az EN 14604 szabványnak laborvizsgálattal igazoltan megfelel. A praktikus funkciók, mint tesztüzemmód, élettartam vége jelzés gondoskodnak nem csupán az Ön biztonságáról, hanem kényelméről is. A vészjelző tápellátását beépített, nem cserélhető lítium elem biztosítja, melynek várható üzemideje 10 év, megfelelő működési hőmérséklet (+4 °C - +38 °C) mellett. A készülékház UL94 V0 lángálló műanyagból készült. Az ST-630-INT kombinált hő-és füstérzékelő a FireAngel W2 (WiSafe2), Z-Wave és Zigbee modulok befogadására tökéletesen alkalmas, így akár 50 másik szén-monoxid, hő és/vagy füstérzékelővel hálózatba kapcsolható.
Üzembe helyezés előtt figyelmesen olvassa el a termék használati útmutatóját! A garancia ideje 5 év, a készülék várható élettartama 10 év. Tegyen otthona biztonságáért még ma!</t>
        </is>
      </c>
    </row>
    <row r="2263">
      <c r="A2263" s="3" t="inlineStr">
        <is>
          <t>FA6115-INT</t>
        </is>
      </c>
      <c r="B2263" s="2" t="inlineStr">
        <is>
          <t>FireAngel FA6115-INT optikai füstérzékelő, elemes, 10 év várható üzemidő, fehér</t>
        </is>
      </c>
      <c r="C2263" s="1" t="n">
        <v>9390.0</v>
      </c>
      <c r="D2263" s="7" t="n">
        <f>HYPERLINK("https://www.somogyi.hu/product/fireangel-fa6115-int-optikai-fusterzekelo-elemes-10-ev-varhato-uzemido-feher-fa6115-int-17909","https://www.somogyi.hu/product/fireangel-fa6115-int-optikai-fusterzekelo-elemes-10-ev-varhato-uzemido-feher-fa6115-int-17909")</f>
        <v>0.0</v>
      </c>
      <c r="E2263" s="7" t="n">
        <f>HYPERLINK("https://www.somogyi.hu/data/img/product_main_images/small/17909.jpg","https://www.somogyi.hu/data/img/product_main_images/small/17909.jpg")</f>
        <v>0.0</v>
      </c>
      <c r="F2263" s="2" t="inlineStr">
        <is>
          <t>0816317006419</t>
        </is>
      </c>
      <c r="G2263" s="4" t="inlineStr">
        <is>
          <t>Egy megbízható eszközt keres, ami időben észleli a veszélyes füstöt otthonában? A FireAngel FA6115-INT optikai füstérzékelő lehet az ideális vészjelző az Ön számára!
A készülék az EN 14604 szabványnak laborvizsgálattal igazoltan megfelel. A készülékbe beépített optikai füstérzékelő biztosítja, hogy vészhelyzet esetén elég ideje legyen a menekülésre. A praktikus funkciók, mint csendes teszt, a könnyű alvás funkció és az elem élettartam vége jelzés gondoskodnak nem csupán az Ön biztonságáról, hanem kényelméről is. A vészjelző tápellátását 2 db cserélhető 1,5 V (AA) elem (tartozék) biztosítja, melyeknek várható elemélettartama kb. 3 év, megfelelő működési hőmérséklet (+4 °C - +38 °C) mellett. A FireAngel FA6115-INT optikai füstérzékelő nem csupán a háztartásokban, hanem lakókocsikban és mobil házakban is használható.
Üzembe helyezés előtt figyelmesen olvassa el a termék használati útmutatóját! A garancia ideje 5 év, a készülék várható élettartama 10 év.</t>
        </is>
      </c>
    </row>
    <row r="2264">
      <c r="A2264" s="3" t="inlineStr">
        <is>
          <t>FA6215-INT</t>
        </is>
      </c>
      <c r="B2264" s="2" t="inlineStr">
        <is>
          <t>FireAngel FA6215-INT hőérzékelő, elemes, 10 év várható üzemidő, fehér</t>
        </is>
      </c>
      <c r="C2264" s="1" t="n">
        <v>13790.0</v>
      </c>
      <c r="D2264" s="7" t="n">
        <f>HYPERLINK("https://www.somogyi.hu/product/fireangel-fa6215-int-hoerzekelo-elemes-10-ev-varhato-uzemido-feher-fa6215-int-17987","https://www.somogyi.hu/product/fireangel-fa6215-int-hoerzekelo-elemes-10-ev-varhato-uzemido-feher-fa6215-int-17987")</f>
        <v>0.0</v>
      </c>
      <c r="E2264" s="7" t="n">
        <f>HYPERLINK("https://www.somogyi.hu/data/img/product_main_images/small/17987.jpg","https://www.somogyi.hu/data/img/product_main_images/small/17987.jpg")</f>
        <v>0.0</v>
      </c>
      <c r="F2264" s="2" t="inlineStr">
        <is>
          <t>0816317006396</t>
        </is>
      </c>
      <c r="G2264" s="4" t="inlineStr">
        <is>
          <t>Tudta, hogy létezik olyan hőérzékelő, ami időben figyelmeztet a veszélyes hőmérséklet-emelkedésre? A FireAngel FA6215-INT hőérzékelő azonnali vészjelzéssel riaszt, ha a helyiség hőmérséklete meghatározott intenzitás mellett a kritikus 54 és 65°C közé emelkedik.
A praktikus funkciók, mint csendes teszt, a könnyű alvás funkció és az elem élettartam vége jelzés gondoskodnak nem csupán az Ön biztonságáról, hanem kényelméről is. A vészjelző tápellátását 2 db cserélhető 1,5 V (AA) elem (tartozék) biztosítja, melyeknek várható elemélettartama kb. 5 év, megfelelő működési hőmérséklet (+4 °C - +38 °C) mellett. A FireAngel FA6215-INT hőérzékelő nem csupán a háztartásokban, hanem lakókocsikban és mobil házakban is használható. Ideális megoldás konyha, garázs és tetőtér tűzvédelmére. Üzembe helyezés előtt figyelmesen olvassa el a termék használati útmutatóját! 
A garancia ideje 5 év, a készülék várható élettartama 10 év.</t>
        </is>
      </c>
    </row>
    <row r="2265">
      <c r="A2265" s="3" t="inlineStr">
        <is>
          <t>FA6111-INT</t>
        </is>
      </c>
      <c r="B2265" s="2" t="inlineStr">
        <is>
          <t>FireAngel FA6111-INT optikai füstérzékelő, elemes, 10 év várható üzemidő, fehér</t>
        </is>
      </c>
      <c r="C2265" s="1" t="n">
        <v>11990.0</v>
      </c>
      <c r="D2265" s="7" t="n">
        <f>HYPERLINK("https://www.somogyi.hu/product/fireangel-fa6111-int-optikai-fusterzekelo-elemes-10-ev-varhato-uzemido-feher-fa6111-int-17910","https://www.somogyi.hu/product/fireangel-fa6111-int-optikai-fusterzekelo-elemes-10-ev-varhato-uzemido-feher-fa6111-int-17910")</f>
        <v>0.0</v>
      </c>
      <c r="E2265" s="7" t="n">
        <f>HYPERLINK("https://www.somogyi.hu/data/img/product_main_images/small/17910.jpg","https://www.somogyi.hu/data/img/product_main_images/small/17910.jpg")</f>
        <v>0.0</v>
      </c>
      <c r="F2265" s="2" t="inlineStr">
        <is>
          <t>0816317006426</t>
        </is>
      </c>
      <c r="G2265" s="4" t="inlineStr">
        <is>
          <t>Egy megbízható eszközt keres, ami időben észleli a veszélyes füstöt otthonában? A FireAngel FA6111-INT optikai füstérzékelő lehet az ideális vészjelző az Ön számára!
A készülék az EN 14604 szabványnak laborvizsgálattal igazoltan megfelel. A készülékbe beépített optikai füstérzékelő biztosítja, hogy vészhelyzet esetén elég ideje legyen a menekülésre. A praktikus funkciók, mint a beépített menekülőút jelző lámpa, a csendes teszt, a könnyű alvás funkció és az elem élettartam vége jelzés gondoskodnak nem csupán az Ön biztonságáról, hanem kényelméről is. A vészjelző tápellátását 2 db cserélhető 1,5 V (AA) elem (tartozék) biztosítja, melyeknek várható elemélettartama kb. 3 év, megfelelő működési hőmérséklet (+4 °C - +38 °C) mellett. A FireAngel FA6111-INT optikai füstérzékelőt a beépített menekülőút jelző lámpa miatt érdemes folyosón, a menekülési útvonal mentén elhelyezni, hogy megvilágítsa a biztonság felé vezető utat.
Üzembe helyezés előtt figyelmesen olvassa el a termék használati útmutatóját! A garancia ideje 5 év, a készülék várható élettartama 10 év.</t>
        </is>
      </c>
    </row>
    <row r="2266">
      <c r="A2266" s="3" t="inlineStr">
        <is>
          <t>SMO11</t>
        </is>
      </c>
      <c r="B2266" s="2" t="inlineStr">
        <is>
          <t>Home SMO11 optikai füstérzékelő, 10 év elem élettartam</t>
        </is>
      </c>
      <c r="C2266" s="1" t="n">
        <v>8290.0</v>
      </c>
      <c r="D2266" s="7" t="n">
        <f>HYPERLINK("https://www.somogyi.hu/product/home-smo11-optikai-fusterzekelo-10-ev-elem-elettartam-smo11-18460","https://www.somogyi.hu/product/home-smo11-optikai-fusterzekelo-10-ev-elem-elettartam-smo11-18460")</f>
        <v>0.0</v>
      </c>
      <c r="E2266" s="7" t="n">
        <f>HYPERLINK("https://www.somogyi.hu/data/img/product_main_images/small/18460.jpg","https://www.somogyi.hu/data/img/product_main_images/small/18460.jpg")</f>
        <v>0.0</v>
      </c>
      <c r="F2266" s="2" t="inlineStr">
        <is>
          <t>5999084964788</t>
        </is>
      </c>
      <c r="G2266" s="4" t="inlineStr">
        <is>
          <t>Hogyan biztosíthatná otthona és családja védelmét a tűzveszély ellen? A Home SMO11 optikai füstérzékelő ideális választás, ha egy megbízható és hosszú élettartamú tűzvédelmi eszközt keres. 
Ez a füstérzékelő a legmodernebb technológiát alkalmazza, hogy időben figyelmeztessen a veszélyre, és megóvja otthonát a tűzesetektől, megfelel az EN14604:2005/AC:2008 szabványnak, ami biztosítja a megbízhatóságot és a pontosságot. Az optikai érzékelő gyorsan és hatékonyan érzékeli a füstöt, és azonnal figyelmeztet a tűzveszélyre. A nagy, könnyen használható teszt gomb lehetővé teszi, hogy bármikor ellenőrizze a készülék működését, míg a némítás funkció ideiglenesen kikapcsolja a riasztást, ha szükséges.
A Home SMO11 működési hőmérséklete 0 °C és +55 °C között van, így széles körben alkalmazható. A beépített 1600mAh kapacitású lítium elem, amely nem cserélhető, akár 10 évig is megbízhatóan működik. A készülék élettartama szintén 10 év, így hosszú távú védelmet biztosít. Az elemélettartam vége kijelzés figyelmezteti Önt, amikor a készülék cserére szorul, így mindig biztos lehet benne, hogy működőképes. A füstérzékelő 85 dB(A) erősségű riasztása jól hallható, biztosítva, hogy időben értesüljön a veszélyről. A kompakt méretei (∅105 x 36 mm) és könnyű súlya (140g) lehetővé teszik, hogy bárhol egyszerűen elhelyezze otthonában vagy akár lakóautójában is.
Ne bízza a véletlenre családja biztonságát – válassza a Home SMO11 optikai füstérzékelőt, és gondoskodjon otthona védelméről a legmegbízhatóbb technológia segítségével!</t>
        </is>
      </c>
    </row>
    <row r="2267">
      <c r="A2267" s="3" t="inlineStr">
        <is>
          <t>W2-MODULE</t>
        </is>
      </c>
      <c r="B2267" s="2" t="inlineStr">
        <is>
          <t>FireAngel W2-MODULE, hálózati összekötő modul, saját áramforrás, érzékelők összekapcsolása</t>
        </is>
      </c>
      <c r="C2267" s="1" t="n">
        <v>19490.0</v>
      </c>
      <c r="D2267" s="7" t="n">
        <f>HYPERLINK("https://www.somogyi.hu/product/fireangel-w2-module-halozati-osszekoto-modul-sajat-aramforras-erzekelok-osszekapcsolasa-w2-module-17555","https://www.somogyi.hu/product/fireangel-w2-module-halozati-osszekoto-modul-sajat-aramforras-erzekelok-osszekapcsolasa-w2-module-17555")</f>
        <v>0.0</v>
      </c>
      <c r="E2267" s="7" t="n">
        <f>HYPERLINK("https://www.somogyi.hu/data/img/product_main_images/small/17555.jpg","https://www.somogyi.hu/data/img/product_main_images/small/17555.jpg")</f>
        <v>0.0</v>
      </c>
      <c r="F2267" s="2" t="inlineStr">
        <is>
          <t>0816317002169</t>
        </is>
      </c>
      <c r="G2267" s="4" t="inlineStr">
        <is>
          <t>Hogy hogyan építhet ki teljes vészjelző hálózatot otthonában? A FireAngel W2 MODUL segítségével, mely kifejezetten az ST-630-INT, HT-630-NEUT és NM-CO-10X-INT vészjelzőkhöz illeszthető.
A W2 modulnak köszönhetően a hálózatba kapcsolt termékek közül, ha egy riaszt, az összes többi is riaszt, így a legkorábban értesül a veszélyről , bárhol is tartózkodik otthonában. A saját áramforrásának (beépített, nem cserélhető lítium elemmel) köszönhetően a modul működése egyáltalán nem befolyásolja a hálózatba kapcsolt vészjelzők várható üzemidejét. Üzembe helyezés előtt figyelmesen olvassa el a termék használati útmutatóját!
Tegye még okosabbá és biztonságosabbá otthonát a FireAngel W2 MODULE segítségével!</t>
        </is>
      </c>
    </row>
    <row r="2268">
      <c r="A2268" s="3" t="inlineStr">
        <is>
          <t>ST-622-INT</t>
        </is>
      </c>
      <c r="B2268" s="2" t="inlineStr">
        <is>
          <t>FireAngel ST-622-INT kombinált hő- és optikai füstérzékelő, Thermoptek technológia, beépített, nem cserélhető lítium elem, 10 év várható üzemidő, fehér</t>
        </is>
      </c>
      <c r="C2268" s="1" t="n">
        <v>13190.0</v>
      </c>
      <c r="D2268" s="7" t="n">
        <f>HYPERLINK("https://www.somogyi.hu/product/fireangel-st-622-int-kombinalt-ho-es-optikai-fusterzekelo-thermoptek-technologia-beepitett-nem-cserelheto-litium-elem-10-ev-varhato-uzemido-feher-st-622-int-17132","https://www.somogyi.hu/product/fireangel-st-622-int-kombinalt-ho-es-optikai-fusterzekelo-thermoptek-technologia-beepitett-nem-cserelheto-litium-elem-10-ev-varhato-uzemido-feher-st-622-int-17132")</f>
        <v>0.0</v>
      </c>
      <c r="E2268" s="7" t="n">
        <f>HYPERLINK("https://www.somogyi.hu/data/img/product_main_images/small/17132.jpg","https://www.somogyi.hu/data/img/product_main_images/small/17132.jpg")</f>
        <v>0.0</v>
      </c>
      <c r="F2268" s="2" t="inlineStr">
        <is>
          <t>0816317003760</t>
        </is>
      </c>
      <c r="G2268" s="4" t="inlineStr">
        <is>
          <t>Olyan érzékelőre van szüksége, ami nem csak a füstöt, hanem a hőt is érzékeli? A FireAngel ST-622-INT kombinált hő- és füstérzékelő a legmodernebb technológiai megoldásokkal áll rendelkezésére.
Az EN 14604 szabványnak laborvizsgálattal igazoltan megfelel. A készülékbe beépített Thermoptek kombinált szenzor ötvözi a legkorszerűbb optikai érzékelést a hőérzékeléssel, így egyaránt gyorsan érzékeli a hevesen lángoló és a parázsló tüzeket is. A vészjelző tápellátását beépített, nem cserélhető lítium elem biztosítja, melynek várható üzemideje 10 év, megfelelő körülmények (-10 °C és +40 °C közötti hőmérséklet; 30-90% közötti relatív páratartalom) közti használat mellett. A készülékház UL94 V0 lángálló műanyagból készült. A praktikus funkciók, mint tesztüzemmód, a könnyű alvás funkció, az okos némítás és az élettartam vége jelzés gondoskodnak nem csupán az Ön biztonságáról, hanem kényelméről is.
Üzembe helyezés előtt figyelmesen olvassa el a termék használati útmutatóját! A garancia ideje 5 év.</t>
        </is>
      </c>
    </row>
    <row r="2269">
      <c r="A2269" s="3" t="inlineStr">
        <is>
          <t>SCB10-INT</t>
        </is>
      </c>
      <c r="B2269" s="2" t="inlineStr">
        <is>
          <t>FireAngel SCB10-INT kombinált szén-monoxid vészjelző és füstérzékelő, beépített, nem cserélhető lítium elem, 10 év várható üzemidő, fehér</t>
        </is>
      </c>
      <c r="C2269" s="1" t="n">
        <v>28990.0</v>
      </c>
      <c r="D2269" s="7" t="n">
        <f>HYPERLINK("https://www.somogyi.hu/product/fireangel-scb10-int-kombinalt-szen-monoxid-veszjelzo-es-fusterzekelo-beepitett-nem-cserelheto-litium-elem-10-ev-varhato-uzemido-feher-scb10-int-17133","https://www.somogyi.hu/product/fireangel-scb10-int-kombinalt-szen-monoxid-veszjelzo-es-fusterzekelo-beepitett-nem-cserelheto-litium-elem-10-ev-varhato-uzemido-feher-scb10-int-17133")</f>
        <v>0.0</v>
      </c>
      <c r="E2269" s="7" t="n">
        <f>HYPERLINK("https://www.somogyi.hu/data/img/product_main_images/small/17133.jpg","https://www.somogyi.hu/data/img/product_main_images/small/17133.jpg")</f>
        <v>0.0</v>
      </c>
      <c r="F2269" s="2" t="inlineStr">
        <is>
          <t>0816317004972</t>
        </is>
      </c>
      <c r="G2269" s="4" t="inlineStr">
        <is>
          <t>Ön is azok közé tartozik, akik a maximális otthoni biztonságot keresik? A FireAngel SCB10-INT kombinált szén-monoxid és füstjelző az EN 50291-1, EN 50291-2 és EN 14604 szabványoknak laborvizsgálattal igazoltan megfelel.
A készülékben található fejlett elektrokémiai CO érzékelő és optikai füstérzékelő a legkisebb veszélyt is azonnal jelzik. A praktikus funkcióknak köszönhetően, mint a tesztüzemmód, a némítás és az élettartam vége jelzés nem csupán az Ön biztonságát, hanem a kényelmét is szolgálják. A készüléken található LED-ek jelzik a bekapcsolt állapotot, az esetleges meghibásodást és a riasztás módját. A vészjelző tápellátását beépített, nem cserélhető lítium elem biztosítja, melynek várható üzemideje 10 év, megfelelő körülmények (-10 °C és +40 °C közötti hőmérséklet; 30-90% közötti relatív páratartalom) közti használat mellett.  A készülékház UL94 V0 lángálló műanyagból készült.
Üzembe helyezés előtt figyelmesen olvassa el a termék használati útmutatóját! A garancia ideje 3 év.</t>
        </is>
      </c>
    </row>
    <row r="2270">
      <c r="A2270" s="6" t="inlineStr">
        <is>
          <t xml:space="preserve">   Dekorációs világítás / Sorolható adapteres család</t>
        </is>
      </c>
      <c r="B2270" s="6" t="inlineStr">
        <is>
          <t/>
        </is>
      </c>
      <c r="C2270" s="6" t="inlineStr">
        <is>
          <t/>
        </is>
      </c>
      <c r="D2270" s="6" t="inlineStr">
        <is>
          <t/>
        </is>
      </c>
      <c r="E2270" s="6" t="inlineStr">
        <is>
          <t/>
        </is>
      </c>
      <c r="F2270" s="6" t="inlineStr">
        <is>
          <t/>
        </is>
      </c>
      <c r="G2270" s="6" t="inlineStr">
        <is>
          <t/>
        </is>
      </c>
    </row>
    <row r="2271">
      <c r="A2271" s="3" t="inlineStr">
        <is>
          <t>DLF 600/WH</t>
        </is>
      </c>
      <c r="B2271" s="2" t="inlineStr">
        <is>
          <t>Home DLF 600/WH LED-es fényfüggöny, 2x3 m / 600 db hidegfehér LED, állófényű, fehér vezeték, sorolható, kül- és beltéri kivitel</t>
        </is>
      </c>
      <c r="C2271" s="1" t="n">
        <v>23190.0</v>
      </c>
      <c r="D2271" s="7" t="n">
        <f>HYPERLINK("https://www.somogyi.hu/product/home-dlf-600-wh-led-es-fenyfuggony-2x3-m-600-db-hidegfeher-led-allofenyu-feher-vezetek-sorolhato-kul-es-belteri-kivitel-dlf-600-wh-14635","https://www.somogyi.hu/product/home-dlf-600-wh-led-es-fenyfuggony-2x3-m-600-db-hidegfeher-led-allofenyu-feher-vezetek-sorolhato-kul-es-belteri-kivitel-dlf-600-wh-14635")</f>
        <v>0.0</v>
      </c>
      <c r="E2271" s="7" t="n">
        <f>HYPERLINK("https://www.somogyi.hu/data/img/product_main_images/small/14635.jpg","https://www.somogyi.hu/data/img/product_main_images/small/14635.jpg")</f>
        <v>0.0</v>
      </c>
      <c r="F2271" s="2" t="inlineStr">
        <is>
          <t>5999084926779</t>
        </is>
      </c>
      <c r="G2271" s="4" t="inlineStr">
        <is>
          <t>Szeretné otthonát egy igazán különleges, ünnepi hangulatú fényfüggönnyel díszíteni? A Home DLF 600/WH LED-es fényfüggöny tökéletes választás, ha lenyűgöző fénydekorációt keres, amely egyaránt alkalmas beltéri és kültéri használatra. 
Ez a fényfüggöny 2 x 3 méteres méretben, 600 hidegfehér LED-del ragyogja be a teret, így ideális választás lehet karácsonyi dekorációként vagy bármely más különleges alkalomra. A 20 füzérből álló LED-es fényfüggöny minden egyes füzéren 30 LED-del rendelkezik, amelyek állófényű fényt biztosítanak. A fehér vezeték diszkréten beleolvad a háttérbe, így a figyelem teljes mértékben a ragyogó fényekre összpontosul. 
A termék sorolható, ami azt jelenti, hogy egy hálózati csatlakozással akár 1200 LED is működtethető, így több fényfüggönyt is összekapcsolhat egy nagyobb, impozáns dekoráció kialakítása érdekében.
Fontos megjegyezni, hogy a fényfüggönyt hálózati adapter és tápkábel nélkül szállítjuk. A maximális biztonság és teljesítmény érdekében javasoljuk a Home DLA 12W hálózati adapter és a Home DLC 5M tápkábel használatát, amelyeket a Somogyi Elektronic forgalmaz.
Varázsoljon otthonába káprázatos fényeket még ma! Rendelje meg a Home DLF 600/WH LED-es fényfüggönyt, és élvezze a meghitt, ünnepi hangulatot egész télen át!</t>
        </is>
      </c>
    </row>
    <row r="2272">
      <c r="A2272" s="3" t="inlineStr">
        <is>
          <t>DLFJ 200/WW</t>
        </is>
      </c>
      <c r="B2272" s="2" t="inlineStr">
        <is>
          <t>Home DLFJ 200/WW LED-es fényfüggöny, 5 m / 200 db melegfehér LED, állófényű, fehér vezeték, sorolható, kül- és beltéri kivitel</t>
        </is>
      </c>
      <c r="C2272" s="1" t="n">
        <v>12190.0</v>
      </c>
      <c r="D2272" s="7" t="n">
        <f>HYPERLINK("https://www.somogyi.hu/product/home-dlfj-200-ww-led-es-fenyfuggony-5-m-200-db-melegfeher-led-allofenyu-feher-vezetek-sorolhato-kul-es-belteri-kivitel-dlfj-200-ww-14710","https://www.somogyi.hu/product/home-dlfj-200-ww-led-es-fenyfuggony-5-m-200-db-melegfeher-led-allofenyu-feher-vezetek-sorolhato-kul-es-belteri-kivitel-dlfj-200-ww-14710")</f>
        <v>0.0</v>
      </c>
      <c r="E2272" s="7" t="n">
        <f>HYPERLINK("https://www.somogyi.hu/data/img/product_main_images/small/14710.jpg","https://www.somogyi.hu/data/img/product_main_images/small/14710.jpg")</f>
        <v>0.0</v>
      </c>
      <c r="F2272" s="2" t="inlineStr">
        <is>
          <t>5999084927523</t>
        </is>
      </c>
      <c r="G2272" s="4" t="inlineStr">
        <is>
          <t>Szeretné, ha otthona valóban kiemelkedne az ünnepi dekorációk sorából? A Home DLFJ 200/WW LED-es fényfüggöny olyan különleges megoldást kínál, amely egyszerre elegáns és praktikus, tökéletes választás kül- és beltéri használatra egyaránt. 
Ez a 5 méteres fényfüggöny 200 melegfehér LED-del rendelkezik, amelyek gyönyörű, tiszta fényt biztosítanak, ezzel varázsolva egyedi hangulatot bármely környezetbe. Az állófényű LED-ek egyenletesen oszlanak el a 3/7/4/6 füzérekből álló, 10 csoportos rendszerben, amely látványos, mégis harmonikus megjelenést eredményez. A fehér vezeték kiválóan illeszkedik a különféle környezetekbe, legyen szó beltéri karácsonyi díszítésről vagy kültéri fénydekorációról. 
A termék sorolható, így könnyedén bővítheti a dekorációt további DLI, DLF vagy DLFJ termékekkel, amelyek szintén a Somogyi Elektronic kínálatából érhetők el. Egy hálózati csatlakozással akár 1200 LED is működtethető, lehetőséget biztosítva a kreatív és látványos dekorációs megoldások kialakítására. Fontos figyelembe venni, hogy a fényfüggönyt hálózati adapter és tápkábel nélkül szállítjuk. A maximális teljesítmény és biztonság érdekében javasoljuk a Home DLA 12W hálózati adapter és a Home DLC 5M tápkábel használatát, amelyek kizárólag a Somogyi Elektronic által forgalmazott eszközökkel kompatibilisek.
Teremtsen maradandó élményt otthonában a Home DLFJ 200/WW LED-es fényfüggönnyel!</t>
        </is>
      </c>
    </row>
    <row r="2273">
      <c r="A2273" s="3" t="inlineStr">
        <is>
          <t>DLF 210/WW</t>
        </is>
      </c>
      <c r="B2273" s="2" t="inlineStr">
        <is>
          <t>Home DLF 210/WW sorolható LED-es fényfüggöny, 2x1 m / 210 db melegfehér LED, állófényű, fehér vezeték, kül- és beltéri kivitel</t>
        </is>
      </c>
      <c r="C2273" s="1" t="n">
        <v>9890.0</v>
      </c>
      <c r="D2273" s="7" t="n">
        <f>HYPERLINK("https://www.somogyi.hu/product/home-dlf-210-ww-sorolhato-led-es-fenyfuggony-2x1-m-210-db-melegfeher-led-allofenyu-feher-vezetek-kul-es-belteri-kivitel-dlf-210-ww-17815","https://www.somogyi.hu/product/home-dlf-210-ww-sorolhato-led-es-fenyfuggony-2x1-m-210-db-melegfeher-led-allofenyu-feher-vezetek-kul-es-belteri-kivitel-dlf-210-ww-17815")</f>
        <v>0.0</v>
      </c>
      <c r="E2273" s="7" t="n">
        <f>HYPERLINK("https://www.somogyi.hu/data/img/product_main_images/small/17815.jpg","https://www.somogyi.hu/data/img/product_main_images/small/17815.jpg")</f>
        <v>0.0</v>
      </c>
      <c r="F2273" s="2" t="inlineStr">
        <is>
          <t>5999084958374</t>
        </is>
      </c>
      <c r="G2273" s="4" t="inlineStr">
        <is>
          <t>Szeretné otthonát egy igazán különleges, ünnepi hangulatú fényfüggönnyel díszíteni? A Home DLF 210/WW LED-es fényfüggöny tökéletes választás, ha lenyűgöző fénydekorációt keres, amely egyaránt alkalmas beltéri és kültéri használatra. 
Ez a fényfüggöny 2 x 1 méteres méretben, 210 melegfehér LED-del ragyogja be a teret, így ideális választás lehet karácsonyi dekorációként vagy bármely más különleges alkalomra. A 21 füzérből álló LED-es fényfüggöny minden egyes füzéren 10 LED-del rendelkezik, amelyek állófényű fényt biztosítanak. A fehér vezeték diszkréten beleolvad a háttérbe, így a figyelem teljes mértékben a ragyogó fényekre összpontosul. 
A termék sorolható, ami azt jelenti, hogy egy hálózati csatlakozással akár 1200 LED is működtethető, így több fényfüggönyt is összekapcsolhat egy nagyobb, impozáns dekoráció kialakítása érdekében.
Fontos megjegyezni, hogy a fényfüggönyt hálózati adapter és tápkábel nélkül szállítjuk. A maximális biztonság és teljesítmény érdekében javasoljuk a Home DLA 12W hálózati adapter és a Home DLC 5M tápkábel használatát, amelyeket a Somogyi Elektronic forgalmaz.
Varázsoljon otthonába káprázatos fényeket még ma! Rendelje meg a Home DLF 210/WW LED-es fényfüggönyt, és élvezze a meghitt, ünnepi hangulatot egész télen át!</t>
        </is>
      </c>
    </row>
    <row r="2274">
      <c r="A2274" s="3" t="inlineStr">
        <is>
          <t>DLI 200/WW</t>
        </is>
      </c>
      <c r="B2274" s="2" t="inlineStr">
        <is>
          <t>Home DLI 200/WW LED-es fényfüzér, 10 m / 200 db melegfehér LED, állófényű, fehér vezeték, sorolható, kül- és beltéri kivitel</t>
        </is>
      </c>
      <c r="C2274" s="1" t="n">
        <v>6390.0</v>
      </c>
      <c r="D2274" s="7" t="n">
        <f>HYPERLINK("https://www.somogyi.hu/product/home-dli-200-ww-led-es-fenyfuzer-10-m-200-db-melegfeher-led-allofenyu-feher-vezetek-sorolhato-kul-es-belteri-kivitel-dli-200-ww-14633","https://www.somogyi.hu/product/home-dli-200-ww-led-es-fenyfuzer-10-m-200-db-melegfeher-led-allofenyu-feher-vezetek-sorolhato-kul-es-belteri-kivitel-dli-200-ww-14633")</f>
        <v>0.0</v>
      </c>
      <c r="E2274" s="7" t="n">
        <f>HYPERLINK("https://www.somogyi.hu/data/img/product_main_images/small/14633.jpg","https://www.somogyi.hu/data/img/product_main_images/small/14633.jpg")</f>
        <v>0.0</v>
      </c>
      <c r="F2274" s="2" t="inlineStr">
        <is>
          <t>5999084926755</t>
        </is>
      </c>
      <c r="G2274" s="4" t="inlineStr">
        <is>
          <t>Olyan fényfüzért keres, amely egyszerű, mégis lenyűgöző megoldást kínál otthona ünnepi díszítéséhez? A Home DLI 200/WW LED-es fényfüzér tökéletes választás mindazok számára, akik szeretnének elegáns, mégis sokoldalú dekorációt létrehozni. 
Ez a 10 méteres hosszúságú fényfüzér 200 db melegfehér LED-del van ellátva, amelyek állófényű ragyogása tiszta és megnyugtató atmoszférát teremt. A fehér vezetékkel felszerelt fényfüzér kifinomult megjelenést biztosít, könnyen illeszkedve bármilyen stílusú térbe. A LED-es fényfüzér kiválóan alkalmas kül- és beltéri használatra egyaránt, így bármely területet, legyen az a kert, a terasz, vagy a nappali, könnyedén díszíthet vele. 
A termék sorolható, ami azt jelenti, hogy egyszerre több fényfüzért is összekapcsolhat, ezáltal még kiterjedtebb fénydekorációt hozva létre. Kompatibilis más DLI, DLF, és DLFJ termékekkel, melyek szintén a Somogyi Elektronic kínálatában találhatók meg. A fényfüzért hálózati adapter és tápkábel nélkül szállítjuk, de a maximális teljesítmény és biztonság érdekében ajánlott a Home DLA 12W hálózati adapter és a Home DLC 5M tápkábel használata. Egy hálózati csatlakozással akár 1200 LED is működtethető, így bátran kombinálhatja a különböző fényfüzéreket a kívánt hatás eléréséhez.
Ne várjon tovább, tegye otthonát ragyogóvá a Home DLI 200/WW LED-es fényfüzérrel! Rendelje meg most, és hozza létre a tökéletes fénydekorációt minden alkalomra!</t>
        </is>
      </c>
    </row>
    <row r="2275">
      <c r="A2275" s="3" t="inlineStr">
        <is>
          <t>DLF 400/WH</t>
        </is>
      </c>
      <c r="B2275" s="2" t="inlineStr">
        <is>
          <t>Home DLF 400/WH LED-es fényfüggöny, 2x2 m / 400 db hidegfehér LED, állófényű, fehér vezeték, sorolható, kül- és beltéri kivitel</t>
        </is>
      </c>
      <c r="C2275" s="1" t="n">
        <v>15690.0</v>
      </c>
      <c r="D2275" s="7" t="n">
        <f>HYPERLINK("https://www.somogyi.hu/product/home-dlf-400-wh-led-es-fenyfuggony-2x2-m-400-db-hidegfeher-led-allofenyu-feher-vezetek-sorolhato-kul-es-belteri-kivitel-dlf-400-wh-14637","https://www.somogyi.hu/product/home-dlf-400-wh-led-es-fenyfuggony-2x2-m-400-db-hidegfeher-led-allofenyu-feher-vezetek-sorolhato-kul-es-belteri-kivitel-dlf-400-wh-14637")</f>
        <v>0.0</v>
      </c>
      <c r="E2275" s="7" t="n">
        <f>HYPERLINK("https://www.somogyi.hu/data/img/product_main_images/small/14637.jpg","https://www.somogyi.hu/data/img/product_main_images/small/14637.jpg")</f>
        <v>0.0</v>
      </c>
      <c r="F2275" s="2" t="inlineStr">
        <is>
          <t>5999084926793</t>
        </is>
      </c>
      <c r="G2275" s="4" t="inlineStr">
        <is>
          <t>Szeretné otthonát egy igazán különleges, ünnepi hangulatú fényfüggönnyel díszíteni? A Home DLF 400/WH LED-es fényfüggöny tökéletes választás, ha lenyűgöző fénydekorációt keres, amely egyaránt alkalmas beltéri és kültéri használatra. 
Ez a fényfüggöny 2 x 2 méteres méretben, 400 hidegfehér LED-del ragyogja be a teret, így ideális választás lehet karácsonyi dekorációként vagy bármely más különleges alkalomra. A 20 füzérből álló LED-es fényfüggöny minden egyes füzéren 20 LED-del rendelkezik, amelyek állófényű fényt biztosítanak. A fehér vezeték diszkréten beleolvad a háttérbe, így a figyelem teljes mértékben a ragyogó fényekre összpontosul. 
A termék sorolható, ami azt jelenti, hogy egy hálózati csatlakozással akár 1200 LED is működtethető, így több fényfüggönyt is összekapcsolhat egy nagyobb, impozáns dekoráció kialakítása érdekében.
Fontos megjegyezni, hogy a fényfüggönyt hálózati adapter és tápkábel nélkül szállítjuk. A maximális biztonság és teljesítmény érdekében javasoljuk a Home DLA 12W hálózati adapter és a Home DLC 5M tápkábel használatát, amelyeket a Somogyi Elektronic forgalmaz.
Varázsoljon otthonába káprázatos fényeket még ma! Rendelje meg a Home DLF 400/WH LED-es fényfüggönyt, és élvezze a meghitt, ünnepi hangulatot egész télen át!</t>
        </is>
      </c>
    </row>
    <row r="2276">
      <c r="A2276" s="3" t="inlineStr">
        <is>
          <t>DLF 210/WH</t>
        </is>
      </c>
      <c r="B2276" s="2" t="inlineStr">
        <is>
          <t>Home DLF 210/WH LED-es fényfüggöny, 2x1 m / 210 db hidegfehér LED, állófényű, fehér vezeték, sorolható, kül- és beltéri kivitel</t>
        </is>
      </c>
      <c r="C2276" s="1" t="n">
        <v>9890.0</v>
      </c>
      <c r="D2276" s="7" t="n">
        <f>HYPERLINK("https://www.somogyi.hu/product/home-dlf-210-wh-led-es-fenyfuggony-2x1-m-210-db-hidegfeher-led-allofenyu-feher-vezetek-sorolhato-kul-es-belteri-kivitel-dlf-210-wh-17814","https://www.somogyi.hu/product/home-dlf-210-wh-led-es-fenyfuggony-2x1-m-210-db-hidegfeher-led-allofenyu-feher-vezetek-sorolhato-kul-es-belteri-kivitel-dlf-210-wh-17814")</f>
        <v>0.0</v>
      </c>
      <c r="E2276" s="7" t="n">
        <f>HYPERLINK("https://www.somogyi.hu/data/img/product_main_images/small/17814.jpg","https://www.somogyi.hu/data/img/product_main_images/small/17814.jpg")</f>
        <v>0.0</v>
      </c>
      <c r="F2276" s="2" t="inlineStr">
        <is>
          <t>5999084958367</t>
        </is>
      </c>
      <c r="G2276" s="4" t="inlineStr">
        <is>
          <t>Szeretné otthonát egy igazán különleges, ünnepi hangulatú fényfüggönnyel díszíteni? A Home DLF 210/WH LED-es fényfüggöny tökéletes választás, ha lenyűgöző fénydekorációt keres, amely egyaránt alkalmas beltéri és kültéri használatra. 
Ez a fényfüggöny 2 x 1 méteres méretben, 210 hidegfehér LED-del ragyogja be a teret, így ideális választás lehet karácsonyi dekorációként vagy bármely más különleges alkalomra. A 21 füzérből álló LED-es fényfüggöny minden egyes füzéren 10 LED-del rendelkezik, amelyek állófényű fényt biztosítanak. A fehér vezeték diszkréten beleolvad a háttérbe, így a figyelem teljes mértékben a ragyogó fényekre összpontosul. 
A termék sorolható, ami azt jelenti, hogy egy hálózati csatlakozással akár 1200 LED is működtethető, így több fényfüggönyt is összekapcsolhat egy nagyobb, impozáns dekoráció kialakítása érdekében.
Fontos megjegyezni, hogy a fényfüggönyt hálózati adapter és tápkábel nélkül szállítjuk. A maximális biztonság és teljesítmény érdekében javasoljuk a Home DLA 12W hálózati adapter és a Home DLC 5M tápkábel használatát, amelyeket a Somogyi Elektronic forgalmaz.
Varázsoljon otthonába káprázatos fényeket még ma! Rendelje meg a Home DLF 210/WH LED-es fényfüggönyt, és élvezze a meghitt, ünnepi hangulatot egész télen át!</t>
        </is>
      </c>
    </row>
    <row r="2277">
      <c r="A2277" s="3" t="inlineStr">
        <is>
          <t>DLF 600/WW</t>
        </is>
      </c>
      <c r="B2277" s="2" t="inlineStr">
        <is>
          <t>Home DLF 600/WW LED-es fényfüggöny, 2x3 m / 600 db melegfehér LED, állófényű, fehér vezeték, sorolható, kül- és beltéri kivitel</t>
        </is>
      </c>
      <c r="C2277" s="1" t="n">
        <v>23190.0</v>
      </c>
      <c r="D2277" s="7" t="n">
        <f>HYPERLINK("https://www.somogyi.hu/product/home-dlf-600-ww-led-es-fenyfuggony-2x3-m-600-db-melegfeher-led-allofenyu-feher-vezetek-sorolhato-kul-es-belteri-kivitel-dlf-600-ww-14636","https://www.somogyi.hu/product/home-dlf-600-ww-led-es-fenyfuggony-2x3-m-600-db-melegfeher-led-allofenyu-feher-vezetek-sorolhato-kul-es-belteri-kivitel-dlf-600-ww-14636")</f>
        <v>0.0</v>
      </c>
      <c r="E2277" s="7" t="n">
        <f>HYPERLINK("https://www.somogyi.hu/data/img/product_main_images/small/14636.jpg","https://www.somogyi.hu/data/img/product_main_images/small/14636.jpg")</f>
        <v>0.0</v>
      </c>
      <c r="F2277" s="2" t="inlineStr">
        <is>
          <t>5999084926786</t>
        </is>
      </c>
      <c r="G2277" s="4" t="inlineStr">
        <is>
          <t>Szeretné otthonát egy igazán különleges, ünnepi hangulatú fényfüggönnyel díszíteni? A Home DLF 600/WW LED-es fényfüggöny tökéletes választás, ha lenyűgöző fénydekorációt keres, amely egyaránt alkalmas beltéri és kültéri használatra. 
Ez a fényfüggöny 2 x 3 méteres méretben, 600 melegfehér LED-del ragyogja be a teret, így ideális választás lehet karácsonyi dekorációként vagy bármely más különleges alkalomra. A 20 füzérből álló LED-es fényfüggöny minden egyes füzéren 30 LED-del rendelkezik, amelyek állófényű fényt biztosítanak. A fehér vezeték diszkréten beleolvad a háttérbe, így a figyelem teljes mértékben a ragyogó fényekre összpontosul. 
A termék sorolható, ami azt jelenti, hogy egy hálózati csatlakozással akár 1200 LED is működtethető, így több fényfüggönyt is összekapcsolhat egy nagyobb, impozáns dekoráció kialakítása érdekében.
Fontos megjegyezni, hogy a fényfüggönyt hálózati adapter és tápkábel nélkül szállítjuk. A maximális biztonság és teljesítmény érdekében javasoljuk a Home DLA 12W hálózati adapter és a Home DLC 5M tápkábel használatát, amelyeket a Somogyi Elektronic forgalmaz.
Varázsoljon otthonába káprázatos fényeket még ma! Rendelje meg a Home DLF 600/WW LED-es fényfüggönyt, és élvezze a meghitt, ünnepi hangulatot egész télen át!</t>
        </is>
      </c>
    </row>
    <row r="2278">
      <c r="A2278" s="3" t="inlineStr">
        <is>
          <t>DLFJ 400F/WW</t>
        </is>
      </c>
      <c r="B2278" s="2" t="inlineStr">
        <is>
          <t>Home DLFJ 400F/WW sziporkázó fényfüggöny, 10 m / 400 db melegfehér LED, állófényű, fehér vezeték, sorolható, kül- és beltéri kivitel</t>
        </is>
      </c>
      <c r="C2278" s="1" t="n">
        <v>22890.0</v>
      </c>
      <c r="D2278" s="7" t="n">
        <f>HYPERLINK("https://www.somogyi.hu/product/home-dlfj-400f-ww-sziporkazo-fenyfuggony-10-m-400-db-melegfeher-led-allofenyu-feher-vezetek-sorolhato-kul-es-belteri-kivitel-dlfj-400f-ww-17325","https://www.somogyi.hu/product/home-dlfj-400f-ww-sziporkazo-fenyfuggony-10-m-400-db-melegfeher-led-allofenyu-feher-vezetek-sorolhato-kul-es-belteri-kivitel-dlfj-400f-ww-17325")</f>
        <v>0.0</v>
      </c>
      <c r="E2278" s="7" t="n">
        <f>HYPERLINK("https://www.somogyi.hu/data/img/product_main_images/small/17325.jpg","https://www.somogyi.hu/data/img/product_main_images/small/17325.jpg")</f>
        <v>0.0</v>
      </c>
      <c r="F2278" s="2" t="inlineStr">
        <is>
          <t>5999084953478</t>
        </is>
      </c>
      <c r="G2278" s="4" t="inlineStr">
        <is>
          <t>Szeretné otthonát egy igazán különleges, sziporkázó fényfüggönnyel feldíszíteni, amely garantáltan megragadja a figyelmet? A Home DLFJ 400F/WW sziporkázó fényfüggöny tökéletes választás azok számára, akik nem érik be a hagyományos fénydekorációkkal. 
Ez a 10 méteres hosszúságú fényfüggöny 400 db melegfehér LED-del világít, amelyek meghitt, melegséget árasztanak. A fényfüzérek különlegessége, hogy minden második füzérben hidegfehér LED-ek is villognak, így sziporkázó, dinamikus hatást keltenek, amely különleges hangulatot teremt. A fényfüggöny kül- és beltéri kivitelű, így akár az udvar, akár a nappali ékessége lehet. A 3/7/4/6 elosztású füzérek 20 csoportban helyezkednek el, így egyenletesen oszlanak el a fények, és igazán látványos dekorációt hoznak létre. A fehér vezeték szinte láthatatlan marad, így a figyelem teljes mértékben a sziporkázó fényekre irányul.
A termék sorolható, tehát egyszerűen összekapcsolható más DLI, DLF, vagy DLFJ termékekkel, amelyeket a Somogyi Elektronic kínálatában talál. Így akár több fényfüggönyt is összekapcsolhat, hogy még impozánsabb fényhatást érjen el. Fontos, hogy a terméket hálózati adapter és tápkábel nélkül szállítjuk, ezért a maximális biztonság és teljesítmény érdekében javasoljuk a Home DLA 12W hálózati adapter és a Home DLC 5M tápkábel használatát. Egy hálózati csatlakozással akár 1200 LED-et is működtethet, így a lehetőségek szinte végtelenek.
Tegye különlegessé otthonát ezzel a káprázatos fényfüggönnyel! Rendelje meg a Home DLFJ 400F/WW sziporkázó fényfüggönyt még ma, és varázsolja ünnepivé az év minden pillanatát!</t>
        </is>
      </c>
    </row>
    <row r="2279">
      <c r="A2279" s="3" t="inlineStr">
        <is>
          <t>DLC 5M</t>
        </is>
      </c>
      <c r="B2279" s="2" t="inlineStr">
        <is>
          <t>Home DLC 5M adapter tápkábel / toldókábel, kül- és beltéri kivitel, IP44, freccsenő víz ellen védett, 5 méter</t>
        </is>
      </c>
      <c r="C2279" s="1" t="n">
        <v>1350.0</v>
      </c>
      <c r="D2279" s="7" t="n">
        <f>HYPERLINK("https://www.somogyi.hu/product/home-dlc-5m-adapter-tapkabel-toldokabel-kul-es-belteri-kivitel-ip44-freccseno-viz-ellen-vedett-5-meter-dlc-5m-14639","https://www.somogyi.hu/product/home-dlc-5m-adapter-tapkabel-toldokabel-kul-es-belteri-kivitel-ip44-freccseno-viz-ellen-vedett-5-meter-dlc-5m-14639")</f>
        <v>0.0</v>
      </c>
      <c r="E2279" s="7" t="n">
        <f>HYPERLINK("https://www.somogyi.hu/data/img/product_main_images/small/14639.jpg","https://www.somogyi.hu/data/img/product_main_images/small/14639.jpg")</f>
        <v>0.0</v>
      </c>
      <c r="F2279" s="2" t="inlineStr">
        <is>
          <t>5999084926816</t>
        </is>
      </c>
      <c r="G2279" s="4" t="inlineStr">
        <is>
          <t>Egy igazán hosszú tápkábelt keres? Ez esetben az 5 méteres DLC 5M típusban garantáltan nem fog csalódni.
A tápkábel/hosszabbító alkalmas a DLI, DLF, DLFJ termékcsalád, valamint a DLA 12 W hálózati adapter használatához is.
Válassza a minőségi termékeket és rendeljen webáruházunkból!</t>
        </is>
      </c>
    </row>
    <row r="2280">
      <c r="A2280" s="3" t="inlineStr">
        <is>
          <t>DLFJ 200F/WW</t>
        </is>
      </c>
      <c r="B2280" s="2" t="inlineStr">
        <is>
          <t>Home DLFJ 200F/WW LED-es sziporkázó fényfüggöny, 5 m / 200 db melegfehér LED, állófényű, fehér vezeték, sorolható, kül- és beltéri kivitel</t>
        </is>
      </c>
      <c r="C2280" s="1" t="n">
        <v>12790.0</v>
      </c>
      <c r="D2280" s="7" t="n">
        <f>HYPERLINK("https://www.somogyi.hu/product/home-dlfj-200f-ww-led-es-sziporkazo-fenyfuggony-5-m-200-db-melegfeher-led-allofenyu-feher-vezetek-sorolhato-kul-es-belteri-kivitel-dlfj-200f-ww-17324","https://www.somogyi.hu/product/home-dlfj-200f-ww-led-es-sziporkazo-fenyfuggony-5-m-200-db-melegfeher-led-allofenyu-feher-vezetek-sorolhato-kul-es-belteri-kivitel-dlfj-200f-ww-17324")</f>
        <v>0.0</v>
      </c>
      <c r="E2280" s="7" t="n">
        <f>HYPERLINK("https://www.somogyi.hu/data/img/product_main_images/small/17324.jpg","https://www.somogyi.hu/data/img/product_main_images/small/17324.jpg")</f>
        <v>0.0</v>
      </c>
      <c r="F2280" s="2" t="inlineStr">
        <is>
          <t>5999084953461</t>
        </is>
      </c>
      <c r="G2280" s="4" t="inlineStr">
        <is>
          <t>Szeretné, ha otthona fényei mindenkit elbűvölnének az ünnepi időszakban? A Home DLFJ 200F/WW LED-es sziporkázó fényfüggöny egy olyan különleges dekorációs megoldás, amely garantáltan vonzza a tekinteteket. 
Ez az 5 méteres fényfüggöny 200 db melegfehér LED-del rendelkezik, amelyek között minden második füzérben egy hidegfehér LED is helyet kapott, finom villogással varázsolva még izgalmasabbá a látványt. A meleg és hideg fények kombinációja tökéletes harmóniát teremt, amely bármely környezetben lenyűgöző hatást kelt. Ez a fényfüggöny kül- és beltéri használatra egyaránt alkalmas, így legyen szó a nappali feldíszítéséről vagy a ház homlokzatának kivilágításáról, mindenhol megállja a helyét. A fehér vezeték diszkrét megjelenése lehetővé teszi, hogy a figyelem teljes mértékben a sziporkázó fényekre összpontosuljon. 
A 3/7/4/6 füzérekből álló, 10 csoportos kialakítás lehetővé teszi, hogy a fények egyenletesen oszoljanak el, mégis dinamikus és látványos megjelenést biztosítva. A termék sorolható, így könnyedén bővíthető további DLI, DLF vagy DLFJ termékekkel, amelyek szintén a Somogyi Elektronic kínálatában találhatók meg. Egyetlen hálózati csatlakozással akár 1200 LED is működtethető, ami lehetővé teszi, hogy igazán lenyűgöző, egyedi fénykompozíciókat hozzon létre. Fontos megjegyezni, hogy a fényfüggönyt hálózati adapter és tápkábel nélkül szállítjuk. Az optimális működés és biztonság érdekében javasoljuk a Home DLA 12W hálózati adapter és a Home DLC 5M tápkábel használatát, amelyek kizárólag a Somogyi Elektronic által forgalmazott adapterekkel és kábelekkel kompatibilisek.
Hozzon létre feledhetetlen ünnepi fényeket otthonában a Home DLFJ 200F/WW LED-es sziporkázó fényfüggönnyel!</t>
        </is>
      </c>
    </row>
    <row r="2281">
      <c r="A2281" s="3" t="inlineStr">
        <is>
          <t>DLFJ 400/WW</t>
        </is>
      </c>
      <c r="B2281" s="2" t="inlineStr">
        <is>
          <t>Home DLFJ 400/WW LED-es fényfüggöny, 10 m / 400 db melegfehér LED, állófényű, fehér vezeték, sorolható, kül- és beltéri kivitel</t>
        </is>
      </c>
      <c r="C2281" s="1" t="n">
        <v>21790.0</v>
      </c>
      <c r="D2281" s="7" t="n">
        <f>HYPERLINK("https://www.somogyi.hu/product/home-dlfj-400-ww-led-es-fenyfuggony-10-m-400-db-melegfeher-led-allofenyu-feher-vezetek-sorolhato-kul-es-belteri-kivitel-dlfj-400-ww-15623","https://www.somogyi.hu/product/home-dlfj-400-ww-led-es-fenyfuggony-10-m-400-db-melegfeher-led-allofenyu-feher-vezetek-sorolhato-kul-es-belteri-kivitel-dlfj-400-ww-15623")</f>
        <v>0.0</v>
      </c>
      <c r="E2281" s="7" t="n">
        <f>HYPERLINK("https://www.somogyi.hu/data/img/product_main_images/small/15623.jpg","https://www.somogyi.hu/data/img/product_main_images/small/15623.jpg")</f>
        <v>0.0</v>
      </c>
      <c r="F2281" s="2" t="inlineStr">
        <is>
          <t>5999084936570</t>
        </is>
      </c>
      <c r="G2281" s="4" t="inlineStr">
        <is>
          <t>Egy igazán látványos és elegáns fénydekorációra vágyik, amely tökéletesen illeszkedik otthona belső és külső tereibe? A Home DLFJ 400/WW LED-es fényfüggöny ideális választás mindazok számára, akik szeretnék különlegessé tenni az ünnepi időszakot, vagy bármely eseményt fényárba borítani. 
Ez a 10 méter hosszú fényfüggöny 400 melegfehér LED-del rendelkezik, melyek ragyogó, állófényű világítást biztosítanak. A fehér vezeték diszkréten simul a környezetbe, így a figyelem teljes mértékben a tiszta, ragyogó fényekre irányul. A 3/7/4/6 elosztásban kialakított füzérek 20 csoportban oszlanak el, így biztosítva a fények egyenletes eloszlását, miközben a sorolható kialakítás lehetővé teszi, hogy több DLI, DLF vagy DLFJ terméket összekapcsoljon, és lenyűgöző fényhatásokat hozzon létre. 
Kül- és beltéri használatra egyaránt alkalmas, így akár a ház homlokzatát, akár a nappalit szeretné dekorálni, ez a fényfüggöny biztosan megállja a helyét. A terméket hálózati adapter és tápkábel nélkül szállítjuk, de a maximális biztonság és teljesítmény érdekében javasoljuk a Home DLA 12W hálózati adapter és a Home DLC 5M tápkábel használatát, melyek kizárólag a Somogyi Elektronic által forgalmazott termékekkel kompatibilisek. Egy hálózati csatlakozással akár 1200 LED is működtethető, így bátran bővítheti a fényfüzérek számát, hogy még grandiózusabb dekorációt alkosson.
Ne hagyja ki ezt a lehetőséget, hogy otthonát elvarázsolja! Rendelje meg a Home DLFJ 400/WW LED-es fényfüggönyt, és élvezze a ragyogó, ünnepi fényeket egész szezonban!</t>
        </is>
      </c>
    </row>
    <row r="2282">
      <c r="A2282" s="3" t="inlineStr">
        <is>
          <t>DLI 200/WH</t>
        </is>
      </c>
      <c r="B2282" s="2" t="inlineStr">
        <is>
          <t>Home DLI 200/WH LED-es fényfüzér, 10 m / 200 db hidegfehér LED, állófényű, fehér vezeték, sorolható, kül- és beltéri kivitel</t>
        </is>
      </c>
      <c r="C2282" s="1" t="n">
        <v>6390.0</v>
      </c>
      <c r="D2282" s="7" t="n">
        <f>HYPERLINK("https://www.somogyi.hu/product/home-dli-200-wh-led-es-fenyfuzer-10-m-200-db-hidegfeher-led-allofenyu-feher-vezetek-sorolhato-kul-es-belteri-kivitel-dli-200-wh-14632","https://www.somogyi.hu/product/home-dli-200-wh-led-es-fenyfuzer-10-m-200-db-hidegfeher-led-allofenyu-feher-vezetek-sorolhato-kul-es-belteri-kivitel-dli-200-wh-14632")</f>
        <v>0.0</v>
      </c>
      <c r="E2282" s="7" t="n">
        <f>HYPERLINK("https://www.somogyi.hu/data/img/product_main_images/small/14632.jpg","https://www.somogyi.hu/data/img/product_main_images/small/14632.jpg")</f>
        <v>0.0</v>
      </c>
      <c r="F2282" s="2" t="inlineStr">
        <is>
          <t>5999084926748</t>
        </is>
      </c>
      <c r="G2282" s="4" t="inlineStr">
        <is>
          <t>Olyan fényfüzért keres, amely egyszerű, mégis lenyűgöző megoldást kínál otthona ünnepi díszítéséhez? A Home DLI 200/WH LED-es fényfüzér tökéletes választás mindazok számára, akik szeretnének elegáns, mégis sokoldalú dekorációt létrehozni. 
Ez a 10 méteres hosszúságú fényfüzér 200 db hidegfehér LED-del van ellátva, amelyek állófényű ragyogása tiszta és megnyugtató atmoszférát teremt. A fehér vezetékkel felszerelt fényfüzér kifinomult megjelenést biztosít, könnyen illeszkedve bármilyen stílusú térbe. A LED-es fényfüzér kiválóan alkalmas kül- és beltéri használatra egyaránt, így bármely területet, legyen az a kert, a terasz, vagy a nappali, könnyedén díszíthet vele. 
A termék sorolható, ami azt jelenti, hogy egyszerre több fényfüzért is összekapcsolhat, ezáltal még kiterjedtebb fénydekorációt hozva létre. Kompatibilis más DLI, DLF, és DLFJ termékekkel, melyek szintén a Somogyi Elektronic kínálatában találhatók meg. A fényfüzért hálózati adapter és tápkábel nélkül szállítjuk, de a maximális teljesítmény és biztonság érdekében ajánlott a Home DLA 12W hálózati adapter és a Home DLC 5M tápkábel használata. Egy hálózati csatlakozással akár 1200 LED is működtethető, így bátran kombinálhatja a különböző fényfüzéreket a kívánt hatás eléréséhez.
Ne várjon tovább, tegye otthonát ragyogóvá a Home DLI 200/WH LED-es fényfüzérrel! Rendelje meg most, és hozza létre a tökéletes fénydekorációt minden alkalomra!</t>
        </is>
      </c>
    </row>
    <row r="2283">
      <c r="A2283" s="3" t="inlineStr">
        <is>
          <t>DLFJ 200/WH</t>
        </is>
      </c>
      <c r="B2283" s="2" t="inlineStr">
        <is>
          <t>Home DLFJ 200/WH LED-es fényfüggöny, 5 m / 200 db hidegfehér LED, állófényű, fehér vezeték, sorolható, kül- és beltéri kivitel</t>
        </is>
      </c>
      <c r="C2283" s="1" t="n">
        <v>12190.0</v>
      </c>
      <c r="D2283" s="7" t="n">
        <f>HYPERLINK("https://www.somogyi.hu/product/home-dlfj-200-wh-led-es-fenyfuggony-5-m-200-db-hidegfeher-led-allofenyu-feher-vezetek-sorolhato-kul-es-belteri-kivitel-dlfj-200-wh-14707","https://www.somogyi.hu/product/home-dlfj-200-wh-led-es-fenyfuggony-5-m-200-db-hidegfeher-led-allofenyu-feher-vezetek-sorolhato-kul-es-belteri-kivitel-dlfj-200-wh-14707")</f>
        <v>0.0</v>
      </c>
      <c r="E2283" s="7" t="n">
        <f>HYPERLINK("https://www.somogyi.hu/data/img/product_main_images/small/14707.jpg","https://www.somogyi.hu/data/img/product_main_images/small/14707.jpg")</f>
        <v>0.0</v>
      </c>
      <c r="F2283" s="2" t="inlineStr">
        <is>
          <t>5999084927493</t>
        </is>
      </c>
      <c r="G2283" s="4" t="inlineStr">
        <is>
          <t>Szeretné, ha otthona valóban kiemelkedne az ünnepi dekorációk sorából? A Home DLFJ 200/WH LED-es fényfüggöny olyan különleges megoldást kínál, amely egyszerre elegáns és praktikus, tökéletes választás kül- és beltéri használatra egyaránt. 
Ez a 5 méteres fényfüggöny 200 hidegfehér LED-del rendelkezik, amelyek gyönyörű, tiszta fényt biztosítanak, ezzel varázsolva egyedi hangulatot bármely környezetbe. Az állófényű LED-ek egyenletesen oszlanak el a 3/7/4/6 füzérekből álló, 10 csoportos rendszerben, amely látványos, mégis harmonikus megjelenést eredményez. A fehér vezeték kiválóan illeszkedik a különféle környezetekbe, legyen szó beltéri karácsonyi díszítésről vagy kültéri fénydekorációról. 
A termék sorolható, így könnyedén bővítheti a dekorációt további DLI, DLF vagy DLFJ termékekkel, amelyek szintén a Somogyi Elektronic kínálatából érhetők el. Egy hálózati csatlakozással akár 1200 LED is működtethető, lehetőséget biztosítva a kreatív és látványos dekorációs megoldások kialakítására. Fontos figyelembe venni, hogy a fényfüggönyt hálózati adapter és tápkábel nélkül szállítjuk. A maximális teljesítmény és biztonság érdekében javasoljuk a Home DLA 12W hálózati adapter és a Home DLC 5M tápkábel használatát, amelyek kizárólag a Somogyi Elektronic által forgalmazott eszközökkel kompatibilisek.
Teremtsen maradandó élményt otthonában a Home DLFJ 200/WH LED-es fényfüggönnyel!</t>
        </is>
      </c>
    </row>
    <row r="2284">
      <c r="A2284" s="3" t="inlineStr">
        <is>
          <t>DLFC 600/WH</t>
        </is>
      </c>
      <c r="B2284" s="2" t="inlineStr">
        <is>
          <t>Home DLFC 600/WH LED-es cluster fényfüggöny, 2,7x0,6 m / 600 db hidegfehér LED, állófényű, fehér vezeték, sorolható, kül- és beltéri kivitel</t>
        </is>
      </c>
      <c r="C2284" s="1" t="n">
        <v>17890.0</v>
      </c>
      <c r="D2284" s="7" t="n">
        <f>HYPERLINK("https://www.somogyi.hu/product/home-dlfc-600-wh-led-es-cluster-fenyfuggony-2-7x0-6-m-600-db-hidegfeher-led-allofenyu-feher-vezetek-sorolhato-kul-es-belteri-kivitel-dlfc-600-wh-18132","https://www.somogyi.hu/product/home-dlfc-600-wh-led-es-cluster-fenyfuggony-2-7x0-6-m-600-db-hidegfeher-led-allofenyu-feher-vezetek-sorolhato-kul-es-belteri-kivitel-dlfc-600-wh-18132")</f>
        <v>0.0</v>
      </c>
      <c r="E2284" s="7" t="n">
        <f>HYPERLINK("https://www.somogyi.hu/data/img/product_main_images/small/18132.jpg","https://www.somogyi.hu/data/img/product_main_images/small/18132.jpg")</f>
        <v>0.0</v>
      </c>
      <c r="F2284" s="2" t="inlineStr">
        <is>
          <t>5999084961541</t>
        </is>
      </c>
      <c r="G2284" s="4" t="inlineStr">
        <is>
          <t>Szeretne lenyűgöző fénydekorációt otthonába vagy a kertbe, amely egyszerre stílusos és praktikus? A Home DLFC 600/WH LED-es cluster fényfüggöny kiváló megoldás, ha látványos és ünnepi hangulatot szeretne teremteni kül- vagy beltéren egyaránt.
Ez a fényfüggöny 600 darab hidegfehér, állófényű LED-ből áll, amelyek 10 füzéren helyezkednek el, füzérenként 60 LED-del. A cluster füzérek hossza 60 cm, a füzérek közötti távolság pedig 30 cm, így a fényfüggöny teljes mérete 2,7 m széles és 0,6 m magas. A fehér vezeték elegánsan simul a háttérbe, így csak a ragyogó fények maradnak fókuszban. A fényfüggöny sorolható, és kompatibilis a Somogyi Elektronic DLI, DLF, DLFJ termékeivel, így rugalmasan bővíthető akár nagyobb felületeken is. Fontos, hogy a fényfüggöny tápvezeték és adapter nélkül érkezik, és kizárólag a Somogyi Elektronic által gyártott DLA 12W (31 V / 12 W) hálózati adapterrel és DLC 5M tápkábellel működtethető. Egy hálózati csatlakozással maximum 1200 LED működtethető.
Teremtsen ünnepi varázst otthonában vagy a kertben ezzel a lenyűgöző fényfüggönnyel – rendelje meg most, és kápráztassa el családját és vendégeit a hidegfehér fények csillogásával!</t>
        </is>
      </c>
    </row>
    <row r="2285">
      <c r="A2285" s="3" t="inlineStr">
        <is>
          <t>DLFC 600/WW</t>
        </is>
      </c>
      <c r="B2285" s="2" t="inlineStr">
        <is>
          <t>Home DLFC 600/WW LED-es cluster fényfüggöny, 2,7x0,6 m / 600 db melegfehér LED, állófényű, fehér vezeték, sorolható, kül- és beltéri kivitel</t>
        </is>
      </c>
      <c r="C2285" s="1" t="n">
        <v>17890.0</v>
      </c>
      <c r="D2285" s="7" t="n">
        <f>HYPERLINK("https://www.somogyi.hu/product/home-dlfc-600-ww-led-es-cluster-fenyfuggony-2-7x0-6-m-600-db-melegfeher-led-allofenyu-feher-vezetek-sorolhato-kul-es-belteri-kivitel-dlfc-600-ww-18133","https://www.somogyi.hu/product/home-dlfc-600-ww-led-es-cluster-fenyfuggony-2-7x0-6-m-600-db-melegfeher-led-allofenyu-feher-vezetek-sorolhato-kul-es-belteri-kivitel-dlfc-600-ww-18133")</f>
        <v>0.0</v>
      </c>
      <c r="E2285" s="7" t="n">
        <f>HYPERLINK("https://www.somogyi.hu/data/img/product_main_images/small/18133.jpg","https://www.somogyi.hu/data/img/product_main_images/small/18133.jpg")</f>
        <v>0.0</v>
      </c>
      <c r="F2285" s="2" t="inlineStr">
        <is>
          <t>5999084961558</t>
        </is>
      </c>
      <c r="G2285" s="4" t="inlineStr">
        <is>
          <t>Szeretne lenyűgöző fénydekorációt otthonába vagy a kertbe, amely egyszerre stílusos és praktikus? A Home DLFC 600/WW LED-es cluster fényfüggöny kiváló megoldás, ha látványos és ünnepi hangulatot szeretne teremteni kül- vagy beltéren egyaránt.
Ez a fényfüggöny 600 darab melegfehér, állófényű LED-ből áll, amelyek 10 füzéren helyezkednek el, füzérenként 60 LED-del. A cluster füzérek hossza 60 cm, a füzérek közötti távolság pedig 30 cm, így a fényfüggöny teljes mérete 2,7 m széles és 0,6 m magas. A fehér vezeték elegánsan simul a háttérbe, így csak a ragyogó fények maradnak fókuszban. A fényfüggöny sorolható, és kompatibilis a Somogyi Elektronic DLI, DLF, DLFJ termékeivel, így rugalmasan bővíthető akár nagyobb felületeken is. Fontos, hogy a fényfüggöny tápvezeték és adapter nélkül érkezik, és kizárólag a Somogyi Elektronic által gyártott DLA 12W (31 V / 12 W) hálózati adapterrel és DLC 5M tápkábellel működtethető. Egy hálózati csatlakozással maximum 1200 LED működtethető.
Teremtsen ünnepi varázst otthonában vagy a kertben ezzel a lenyűgöző fényfüggönnyel – rendelje meg most, és kápráztassa el családját és vendégeit a melegfehér fények csillogásával!</t>
        </is>
      </c>
    </row>
    <row r="2286">
      <c r="A2286" s="3" t="inlineStr">
        <is>
          <t>DLF 400/WW</t>
        </is>
      </c>
      <c r="B2286" s="2" t="inlineStr">
        <is>
          <t>Home DLF 400/WW LED-es fényfüggöny, 2x2 m / 400 db melegfehér LED, állófényű, fehér vezeték, sorolható, kül- és beltéri kivitel</t>
        </is>
      </c>
      <c r="C2286" s="1" t="n">
        <v>15690.0</v>
      </c>
      <c r="D2286" s="7" t="n">
        <f>HYPERLINK("https://www.somogyi.hu/product/home-dlf-400-ww-led-es-fenyfuggony-2x2-m-400-db-melegfeher-led-allofenyu-feher-vezetek-sorolhato-kul-es-belteri-kivitel-dlf-400-ww-14638","https://www.somogyi.hu/product/home-dlf-400-ww-led-es-fenyfuggony-2x2-m-400-db-melegfeher-led-allofenyu-feher-vezetek-sorolhato-kul-es-belteri-kivitel-dlf-400-ww-14638")</f>
        <v>0.0</v>
      </c>
      <c r="E2286" s="7" t="n">
        <f>HYPERLINK("https://www.somogyi.hu/data/img/product_main_images/small/14638.jpg","https://www.somogyi.hu/data/img/product_main_images/small/14638.jpg")</f>
        <v>0.0</v>
      </c>
      <c r="F2286" s="2" t="inlineStr">
        <is>
          <t>5999084926809</t>
        </is>
      </c>
      <c r="G2286" s="4" t="inlineStr">
        <is>
          <t>Szeretné otthonát egy igazán különleges, ünnepi hangulatú fényfüggönnyel díszíteni? A Home DLF 400/WW LED-es fényfüggöny tökéletes választás, ha lenyűgöző fénydekorációt keres, amely egyaránt alkalmas beltéri és kültéri használatra. 
Ez a fényfüggöny 2 x 2 méteres méretben, 400 melegfehér LED-del ragyogja be a teret, így ideális választás lehet karácsonyi dekorációként vagy bármely más különleges alkalomra. A 20 füzérből álló LED-es fényfüggöny minden egyes füzéren 20 LED-del rendelkezik, amelyek állófényű fényt biztosítanak. A fehér vezeték diszkréten beleolvad a háttérbe, így a figyelem teljes mértékben a ragyogó fényekre összpontosul. 
A termék sorolható, ami azt jelenti, hogy egy hálózati csatlakozással akár 1200 LED is működtethető, így több fényfüggönyt is összekapcsolhat egy nagyobb, impozáns dekoráció kialakítása érdekében.
Fontos megjegyezni, hogy a fényfüggönyt hálózati adapter és tápkábel nélkül szállítjuk. A maximális biztonság és teljesítmény érdekében javasoljuk a Home DLA 12W hálózati adapter és a Home DLC 5M tápkábel használatát, amelyeket a Somogyi Elektronic forgalmaz.
Varázsoljon otthonába káprázatos fényeket még ma! Rendelje meg a Home DLF 400/WW LED-es fényfüggönyt, és élvezze a meghitt, ünnepi hangulatot egész télen át!</t>
        </is>
      </c>
    </row>
    <row r="2287">
      <c r="A2287" s="3" t="inlineStr">
        <is>
          <t>DLT</t>
        </is>
      </c>
      <c r="B2287" s="2" t="inlineStr">
        <is>
          <t>Home DLT T-elosztó fényfüzérhez, Home DLI, Home DLF termékcsaládhoz, kül- és beltéri kivitel, fehér</t>
        </is>
      </c>
      <c r="C2287" s="1" t="n">
        <v>1550.0</v>
      </c>
      <c r="D2287" s="7" t="n">
        <f>HYPERLINK("https://www.somogyi.hu/product/home-dlt-t-eloszto-fenyfuzerhez-home-dli-home-dlf-termekcsaladhoz-kul-es-belteri-kivitel-feher-dlt-17323","https://www.somogyi.hu/product/home-dlt-t-eloszto-fenyfuzerhez-home-dli-home-dlf-termekcsaladhoz-kul-es-belteri-kivitel-feher-dlt-17323")</f>
        <v>0.0</v>
      </c>
      <c r="E2287" s="7" t="n">
        <f>HYPERLINK("https://www.somogyi.hu/data/img/product_main_images/small/17323.jpg","https://www.somogyi.hu/data/img/product_main_images/small/17323.jpg")</f>
        <v>0.0</v>
      </c>
      <c r="F2287" s="2" t="inlineStr">
        <is>
          <t>5999084953454</t>
        </is>
      </c>
      <c r="G2287" s="4" t="inlineStr">
        <is>
          <t>Fedezze fel a DLT T-elosztót, az ideális kiegészítőt izzósorainkhoz.
Alkalmas kül- és beltéri használatra, a Somogyi Electronic Kft. által forgalomba hozott DLI, DLF, DLFJ termékcsalád fényfüzéreihez.
Bővítse világítási lehetőségeit ezzel a praktikus eszközzel, és teremtsen hangulatos fényekkel teli környezetet otthonában!</t>
        </is>
      </c>
    </row>
    <row r="2288">
      <c r="A2288" s="3" t="inlineStr">
        <is>
          <t>DLFJ 400/WH</t>
        </is>
      </c>
      <c r="B2288" s="2" t="inlineStr">
        <is>
          <t>Home DLFJ 400/WH LED-es fényfüggöny, 10 m / 400 db hidegfehér LED, állófényű, fehér vezeték, sorolható, kül- és beltéri kivitel</t>
        </is>
      </c>
      <c r="C2288" s="1" t="n">
        <v>21790.0</v>
      </c>
      <c r="D2288" s="7" t="n">
        <f>HYPERLINK("https://www.somogyi.hu/product/home-dlfj-400-wh-led-es-fenyfuggony-10-m-400-db-hidegfeher-led-allofenyu-feher-vezetek-sorolhato-kul-es-belteri-kivitel-dlfj-400-wh-15622","https://www.somogyi.hu/product/home-dlfj-400-wh-led-es-fenyfuggony-10-m-400-db-hidegfeher-led-allofenyu-feher-vezetek-sorolhato-kul-es-belteri-kivitel-dlfj-400-wh-15622")</f>
        <v>0.0</v>
      </c>
      <c r="E2288" s="7" t="n">
        <f>HYPERLINK("https://www.somogyi.hu/data/img/product_main_images/small/15622.jpg","https://www.somogyi.hu/data/img/product_main_images/small/15622.jpg")</f>
        <v>0.0</v>
      </c>
      <c r="F2288" s="2" t="inlineStr">
        <is>
          <t>5999084936563</t>
        </is>
      </c>
      <c r="G2288" s="4" t="inlineStr">
        <is>
          <t>Egy igazán látványos és elegáns fénydekorációra vágyik, amely tökéletesen illeszkedik otthona belső és külső tereibe? A Home DLFJ 400/WH LED-es fényfüggöny ideális választás mindazok számára, akik szeretnék különlegessé tenni az ünnepi időszakot, vagy bármely eseményt fényárba borítani. 
Ez a 10 méter hosszú fényfüggöny 400 hidegfehér LED-del rendelkezik, melyek ragyogó, állófényű világítást biztosítanak. A fehér vezeték diszkréten simul a környezetbe, így a figyelem teljes mértékben a tiszta, ragyogó fényekre irányul. A 3/7/4/6 elosztásban kialakított füzérek 20 csoportban oszlanak el, így biztosítva a fények egyenletes eloszlását, miközben a sorolható kialakítás lehetővé teszi, hogy több DLI, DLF vagy DLFJ terméket összekapcsoljon, és lenyűgöző fényhatásokat hozzon létre. 
Kül- és beltéri használatra egyaránt alkalmas, így akár a ház homlokzatát, akár a nappalit szeretné dekorálni, ez a fényfüggöny biztosan megállja a helyét. A terméket hálózati adapter és tápkábel nélkül szállítjuk, de a maximális biztonság és teljesítmény érdekében javasoljuk a Home DLA 12W hálózati adapter és a Home DLC 5M tápkábel használatát, melyek kizárólag a Somogyi Elektronic által forgalmazott termékekkel kompatibilisek. Egy hálózati csatlakozással akár 1200 LED is működtethető, így bátran bővítheti a fényfüzérek számát, hogy még grandiózusabb dekorációt alkosson.
Ne hagyja ki ezt a lehetőséget, hogy otthonát elvarázsolja! Rendelje meg a Home DLFJ 400/WH LED-es fényfüggönyt, és élvezze a ragyogó, ünnepi fényeket egész szezonban!</t>
        </is>
      </c>
    </row>
    <row r="2289">
      <c r="A2289" s="3" t="inlineStr">
        <is>
          <t>DLA 12W</t>
        </is>
      </c>
      <c r="B2289" s="2" t="inlineStr">
        <is>
          <t>Home DLA 12W hálózati adapter fényfüzérekhez,  IP44, freccsenő víz ellen védett, kül- és beltéri kivitel, 31 V DC / 12 W</t>
        </is>
      </c>
      <c r="C2289" s="1" t="n">
        <v>4290.0</v>
      </c>
      <c r="D2289" s="7" t="n">
        <f>HYPERLINK("https://www.somogyi.hu/product/home-dla-12w-halozati-adapter-fenyfuzerekhez-ip44-freccseno-viz-ellen-vedett-kul-es-belteri-kivitel-31-v-dc-12-w-dla-12w-14640","https://www.somogyi.hu/product/home-dla-12w-halozati-adapter-fenyfuzerekhez-ip44-freccseno-viz-ellen-vedett-kul-es-belteri-kivitel-31-v-dc-12-w-dla-12w-14640")</f>
        <v>0.0</v>
      </c>
      <c r="E2289" s="7" t="n">
        <f>HYPERLINK("https://www.somogyi.hu/data/img/product_main_images/small/14640.jpg","https://www.somogyi.hu/data/img/product_main_images/small/14640.jpg")</f>
        <v>0.0</v>
      </c>
      <c r="F2289" s="2" t="inlineStr">
        <is>
          <t>5999084926823</t>
        </is>
      </c>
      <c r="G2289" s="4" t="inlineStr">
        <is>
          <t>Egy egyszerű, és megbízható megoldást kelet fényfüzérei üzemeltetéséhez? A DLA 12W kül- és beltéri hálózati adapter a megoldás termékei tápellátásához.
Az adapter csakis a Somogyi Elektronic által forgalmazott DLC 5M tápkábelhez csatlakoztatható. Kültéren való biztonságos használatát az IP44-es kivitel biztosítja, amely egyben garantálja a freccsenő víz elleni védelmet is.
Válassza a minőségi termékeket és rendeljen webáruházunkból!</t>
        </is>
      </c>
    </row>
    <row r="2290">
      <c r="A2290" s="6" t="inlineStr">
        <is>
          <t xml:space="preserve">   Dekorációs világítás / Fényfüzér</t>
        </is>
      </c>
      <c r="B2290" s="6" t="inlineStr">
        <is>
          <t/>
        </is>
      </c>
      <c r="C2290" s="6" t="inlineStr">
        <is>
          <t/>
        </is>
      </c>
      <c r="D2290" s="6" t="inlineStr">
        <is>
          <t/>
        </is>
      </c>
      <c r="E2290" s="6" t="inlineStr">
        <is>
          <t/>
        </is>
      </c>
      <c r="F2290" s="6" t="inlineStr">
        <is>
          <t/>
        </is>
      </c>
      <c r="G2290" s="6" t="inlineStr">
        <is>
          <t/>
        </is>
      </c>
    </row>
    <row r="2291">
      <c r="A2291" s="3" t="inlineStr">
        <is>
          <t>ML 150/WW</t>
        </is>
      </c>
      <c r="B2291" s="2" t="inlineStr">
        <is>
          <t>Home ML 150/WW micro LED-es fényfüzérköteg, 150 db melegfehér micro LED, 6 ágú, vékony, ezüstszínű vezeték, hálózati adapter, kül- és beltéri kivitel</t>
        </is>
      </c>
      <c r="C2291" s="1" t="n">
        <v>4590.0</v>
      </c>
      <c r="D2291" s="7" t="n">
        <f>HYPERLINK("https://www.somogyi.hu/product/home-ml-150-ww-micro-led-es-fenyfuzerkoteg-150-db-melegfeher-micro-led-6-agu-vekony-ezustszinu-vezetek-halozati-adapter-kul-es-belteri-kivitel-ml-150-ww-14002","https://www.somogyi.hu/product/home-ml-150-ww-micro-led-es-fenyfuzerkoteg-150-db-melegfeher-micro-led-6-agu-vekony-ezustszinu-vezetek-halozati-adapter-kul-es-belteri-kivitel-ml-150-ww-14002")</f>
        <v>0.0</v>
      </c>
      <c r="E2291" s="7" t="n">
        <f>HYPERLINK("https://www.somogyi.hu/data/img/product_main_images/small/14002.jpg","https://www.somogyi.hu/data/img/product_main_images/small/14002.jpg")</f>
        <v>0.0</v>
      </c>
      <c r="F2291" s="2" t="inlineStr">
        <is>
          <t>5999084920548</t>
        </is>
      </c>
      <c r="G2291" s="4" t="inlineStr">
        <is>
          <t>Dekorálja otthonát az ML 150/WW micro-LED-es fényfüzérköteggel! Ezzel a kivételes fénysorral könnyedén teremthet meghitt hangulatot beltérben vagy a szabadban.
A 150 fényesen ragyogó, melegfehér színhőmérsékletű pontszerű micro-LED lehetővé teszi, hogy a fények tökéletesen passzoljanak a pillanathoz. Az ezüst színű, vékony vezeték segítségével könnyedén, szűkös helyen is rögzítheti a fénysort. Az ML 150/WW kültéri IP44-es szabványú hálózati adapterrel működik, és a 6 füzér mérete egyenként 2,4 méter.
Ne habozzon, tegyen egy lépést a meghittség felé az ML 150/WW micro-LED-es fénysorral! Fedezze fel a fények varázslatos világát, és teremtsen egyedülálló atmoszférát otthonában!</t>
        </is>
      </c>
    </row>
    <row r="2292">
      <c r="A2292" s="3" t="inlineStr">
        <is>
          <t>KKL 500F/WW</t>
        </is>
      </c>
      <c r="B2292" s="2" t="inlineStr">
        <is>
          <t>Home KKL 500F/WW LED-es sziporkázó fényfüzér, 50 m / 500 db sziporkázó melegfehér LED, fehér vezeték, hálózati adapter, kül- és beltéri kivitel</t>
        </is>
      </c>
      <c r="C2292" s="1" t="n">
        <v>20490.0</v>
      </c>
      <c r="D2292" s="7" t="n">
        <f>HYPERLINK("https://www.somogyi.hu/product/home-kkl-500f-ww-led-es-sziporkazo-fenyfuzer-50-m-500-db-sziporkazo-melegfeher-led-feher-vezetek-halozati-adapter-kul-es-belteri-kivitel-kkl-500f-ww-16011","https://www.somogyi.hu/product/home-kkl-500f-ww-led-es-sziporkazo-fenyfuzer-50-m-500-db-sziporkazo-melegfeher-led-feher-vezetek-halozati-adapter-kul-es-belteri-kivitel-kkl-500f-ww-16011")</f>
        <v>0.0</v>
      </c>
      <c r="E2292" s="7" t="n">
        <f>HYPERLINK("https://www.somogyi.hu/data/img/product_main_images/small/16011.jpg","https://www.somogyi.hu/data/img/product_main_images/small/16011.jpg")</f>
        <v>0.0</v>
      </c>
      <c r="F2292" s="2" t="inlineStr">
        <is>
          <t>5999084940430</t>
        </is>
      </c>
      <c r="G2292" s="4" t="inlineStr">
        <is>
          <t>Elgondolkodott már azon, hogyan tehetné otthona hangulatát még varázslatosabbá? A KKL 500F/WW fényfüzérrel megtalálta a tökéletes megoldást!
Ez a különleges fényfüzér kiváló választás mind kintre, mind bentre, melyben a melegfehér, állandóan világító LED-ek között minden tizedik melegfehér fény fel-fel villanása teszi igazán egyedivé a látványt. 
Az 5 méteres tápvezetéknek köszönhetően rugalmasan elhelyezhető. 
A megbízható tápellátásról a kültéri IP44-es hálózati adapter gondoskodik.
Változtassa át otthonát vagy kertjét egy igazi mesebeli környezetté a KKL 500F/WW fényfüzérrel!</t>
        </is>
      </c>
    </row>
    <row r="2293">
      <c r="A2293" s="3" t="inlineStr">
        <is>
          <t>LED 208C/M</t>
        </is>
      </c>
      <c r="B2293" s="2" t="inlineStr">
        <is>
          <t>Home LED 208C/M LED-es fényfüzér, 14 m / 200 db színes LED, 8 fényprogram, zöld vezeték, hálózati adapter, kül- és beltéri kivitel</t>
        </is>
      </c>
      <c r="C2293" s="1" t="n">
        <v>9490.0</v>
      </c>
      <c r="D2293" s="7" t="n">
        <f>HYPERLINK("https://www.somogyi.hu/product/home-led-208c-m-led-es-fenyfuzer-14-m-200-db-szines-led-8-fenyprogram-zold-vezetek-halozati-adapter-kul-es-belteri-kivitel-led-208c-m-15481","https://www.somogyi.hu/product/home-led-208c-m-led-es-fenyfuzer-14-m-200-db-szines-led-8-fenyprogram-zold-vezetek-halozati-adapter-kul-es-belteri-kivitel-led-208c-m-15481")</f>
        <v>0.0</v>
      </c>
      <c r="E2293" s="7" t="n">
        <f>HYPERLINK("https://www.somogyi.hu/data/img/product_main_images/small/15481.jpg","https://www.somogyi.hu/data/img/product_main_images/small/15481.jpg")</f>
        <v>0.0</v>
      </c>
      <c r="F2293" s="2" t="inlineStr">
        <is>
          <t>5999084935153</t>
        </is>
      </c>
      <c r="G2293" s="4" t="inlineStr">
        <is>
          <t>Szeretne meghitt hangulatot teremteni otthonában egyedi fényekkel? A LED 208C/M fényfüzér kiváló választás erre a célra!
Kivitelezése lehetővé teszi, hogy akár a kertben, akár nappalijában ragyoghasson. 
A füzér 8 különböző programot kínál, így minden napra választhat egy új fényjátékot, a memória funkció pedig emlékszik az Ön kedvenc beállítására. 
A zöld vezeték diszkréten simul a karácsonyfa környezetébe, így csak a 200 db színes LED ragyogása érvényesül. A kültéri IP44-es hálózati adapter pedig gondoskodik az állandó és biztonságos működésről.
Hozza közelebb a csillogó estéket otthonába a LED 208C/M fényfüzérrel!</t>
        </is>
      </c>
    </row>
    <row r="2294">
      <c r="A2294" s="3" t="inlineStr">
        <is>
          <t>LED 208C/WH</t>
        </is>
      </c>
      <c r="B2294" s="2" t="inlineStr">
        <is>
          <t>Home LED 208C/WH LED-es fényfüzér, 14 m / 200 db hidegfehér LED, 8 fényprogram, zöld vezeték, hálózati adapter, kül- és beltéri kivitel</t>
        </is>
      </c>
      <c r="C2294" s="1" t="n">
        <v>9490.0</v>
      </c>
      <c r="D2294" s="7" t="n">
        <f>HYPERLINK("https://www.somogyi.hu/product/home-led-208c-wh-led-es-fenyfuzer-14-m-200-db-hidegfeher-led-8-fenyprogram-zold-vezetek-halozati-adapter-kul-es-belteri-kivitel-led-208c-wh-15482","https://www.somogyi.hu/product/home-led-208c-wh-led-es-fenyfuzer-14-m-200-db-hidegfeher-led-8-fenyprogram-zold-vezetek-halozati-adapter-kul-es-belteri-kivitel-led-208c-wh-15482")</f>
        <v>0.0</v>
      </c>
      <c r="E2294" s="7" t="n">
        <f>HYPERLINK("https://www.somogyi.hu/data/img/product_main_images/small/15482.jpg","https://www.somogyi.hu/data/img/product_main_images/small/15482.jpg")</f>
        <v>0.0</v>
      </c>
      <c r="F2294" s="2" t="inlineStr">
        <is>
          <t>5999084935160</t>
        </is>
      </c>
      <c r="G2294" s="4" t="inlineStr">
        <is>
          <t>Szeretne meghitt hangulatot teremteni otthonában egyedi fényekkel? A LED 208C/WH fényfüzér kiváló választás erre a célra!
Kivitelezése lehetővé teszi, hogy akár a kertben, akár nappalijában ragyoghasson. 
A füzér 8 különböző programot kínál, így minden napra választhat egy új fényjátékot, a memória funkció pedig emlékszik az Ön kedvenc beállítására. 
A zöld vezeték diszkréten simul a karácsonyfa környezetébe, így csak a 200 db hidegfehér LED ragyogása érvényesül. A kültéri IP44-es hálózati adapter pedig gondoskodik az állandó és biztonságos működésről.
Hozza közelebb a csillogó estéket otthonába a LED 208C/WH fényfüzérrel!</t>
        </is>
      </c>
    </row>
    <row r="2295">
      <c r="A2295" s="3" t="inlineStr">
        <is>
          <t>LED 102R/WW/M</t>
        </is>
      </c>
      <c r="B2295" s="2" t="inlineStr">
        <is>
          <t>Home LED 102R/WW/M LED-es DUAL COLOR fényfüzér, 7 m / 100 db melegfehér és színes LED, táviránytó, 2 fényprogram, hálózati adapter, kül- és beltéri kivitel</t>
        </is>
      </c>
      <c r="C2295" s="1" t="n">
        <v>8590.0</v>
      </c>
      <c r="D2295" s="7" t="n">
        <f>HYPERLINK("https://www.somogyi.hu/product/home-led-102r-ww-m-led-es-dual-color-fenyfuzer-7-m-100-db-melegfeher-es-szines-led-taviranyto-2-fenyprogram-halozati-adapter-kul-es-belteri-kivitel-led-102r-ww-m-16002","https://www.somogyi.hu/product/home-led-102r-ww-m-led-es-dual-color-fenyfuzer-7-m-100-db-melegfeher-es-szines-led-taviranyto-2-fenyprogram-halozati-adapter-kul-es-belteri-kivitel-led-102r-ww-m-16002")</f>
        <v>0.0</v>
      </c>
      <c r="E2295" s="7" t="n">
        <f>HYPERLINK("https://www.somogyi.hu/data/img/product_main_images/small/16002.jpg","https://www.somogyi.hu/data/img/product_main_images/small/16002.jpg")</f>
        <v>0.0</v>
      </c>
      <c r="F2295" s="2" t="inlineStr">
        <is>
          <t>5999084940348</t>
        </is>
      </c>
      <c r="G2295" s="4" t="inlineStr">
        <is>
          <t>Fedezze fel az ünnepi világítás új dimenzióját a LED 102R/WW/M LED-es dual color függönyével! Ideális választás kül- és beltéri dekorációhoz.
A 100 melegfehér/színes LED gazdag fényjátékot teremt, melyet a fekete vezeték elegánsan kiegészít. Választhat a melegfehér és színes állófényű színvariációk között. A 6 óra bekapcsolt és 18 óra kikapcsolt ismétlődő időzítés, valamint a távirányítóval való vezérlés gondoskodik a kényelemről. Az IP44-es hálózati adapter lehetővé teszi a biztonságos kültéri használatot is.
Legyen a dekoráció sztárja a LED 102R/WW/M LED-es dual color függöny segítségével, és varázsolja egyedivé otthonát!</t>
        </is>
      </c>
    </row>
    <row r="2296">
      <c r="A2296" s="3" t="inlineStr">
        <is>
          <t>ML 80/WW</t>
        </is>
      </c>
      <c r="B2296" s="2" t="inlineStr">
        <is>
          <t>Home ML 80/WW micro LED-es fényfüzér, 7,9 m / 80 db melegfehér micro LED, állófényű, vékony vezeték, hálózati adapter, kül- és beltéri kivitel</t>
        </is>
      </c>
      <c r="C2296" s="1" t="n">
        <v>3490.0</v>
      </c>
      <c r="D2296" s="7" t="n">
        <f>HYPERLINK("https://www.somogyi.hu/product/home-ml-80-ww-micro-led-es-fenyfuzer-7-9-m-80-db-melegfeher-micro-led-allofenyu-vekony-vezetek-halozati-adapter-kul-es-belteri-kivitel-ml-80-ww-13452","https://www.somogyi.hu/product/home-ml-80-ww-micro-led-es-fenyfuzer-7-9-m-80-db-melegfeher-micro-led-allofenyu-vekony-vezetek-halozati-adapter-kul-es-belteri-kivitel-ml-80-ww-13452")</f>
        <v>0.0</v>
      </c>
      <c r="E2296" s="7" t="n">
        <f>HYPERLINK("https://www.somogyi.hu/data/img/product_main_images/small/13452.jpg","https://www.somogyi.hu/data/img/product_main_images/small/13452.jpg")</f>
        <v>0.0</v>
      </c>
      <c r="F2296" s="2" t="inlineStr">
        <is>
          <t>5999084915384</t>
        </is>
      </c>
      <c r="G2296" s="4" t="inlineStr">
        <is>
          <t>Egy tökéletes dekorációs megoldást keres, amely kültéren és beltéren egyaránt hangulatos fényeket biztosít? A Home ML 80/WW micro LED-es fényfüzér nemcsak praktikus, de esztétikus választás is minden alkalomra. 
A 7,9 méter hosszú fényfüzér 80 darab melegfehér, ragyogó micro LED-et tartalmaz, amelyek gyönyörű, állandó fényükkel feldobják bármelyik helyiséget vagy kertet. A vékony, diszkrét vezeték lehetővé teszi, hogy a fények szinte lebegjenek a térben, ezáltal minden dekorációhoz tökéletesen illeszkedik. A tápellátást biztosító IP44 kültéri hálózati adapter garantálja, hogy a fényfüzér ellenálljon az időjárás viszontagságainak, így bátran használhatja a szabadban is. 
A melegfehér LED-ek nyugtató fényt sugároznak, amely különösen elegáns, modern hangulatot teremt – ideális választás ünnepi alkalmakra, kerti partikhoz, vagy akár mindennapi díszként.
A könnyen kezelhető, megbízható fényfüzér egyszerűen felhelyezhető, a hosszú élettartamú LED-ek pedig energiatakarékosak, így hosszú távon is gazdaságos megoldást nyújtanak.
Dobja fel otthonát vagy kertjét egyedi fényekkel! Rendelje meg most, és varázsoljon különleges hangulatot bármelyik helyiségbe ezzel a sokoldalú, megbízható fényfüzérrel!</t>
        </is>
      </c>
    </row>
    <row r="2297">
      <c r="A2297" s="3" t="inlineStr">
        <is>
          <t>KKL 500F/WH</t>
        </is>
      </c>
      <c r="B2297" s="2" t="inlineStr">
        <is>
          <t>Home KKL 500F/WH LED-es sziporkázó fényfüzér, 50 m / 500 db hidegfehéren sziporkázó melegfehér LED, fehér vezeték, hálózati adapter, kül- és beltéri kivitel</t>
        </is>
      </c>
      <c r="C2297" s="1" t="n">
        <v>24090.0</v>
      </c>
      <c r="D2297" s="7" t="n">
        <f>HYPERLINK("https://www.somogyi.hu/product/home-kkl-500f-wh-led-es-sziporkazo-fenyfuzer-50-m-500-db-hidegfeheren-sziporkazo-melegfeher-led-feher-vezetek-halozati-adapter-kul-es-belteri-kivitel-kkl-500f-wh-16009","https://www.somogyi.hu/product/home-kkl-500f-wh-led-es-sziporkazo-fenyfuzer-50-m-500-db-hidegfeheren-sziporkazo-melegfeher-led-feher-vezetek-halozati-adapter-kul-es-belteri-kivitel-kkl-500f-wh-16009")</f>
        <v>0.0</v>
      </c>
      <c r="E2297" s="7" t="n">
        <f>HYPERLINK("https://www.somogyi.hu/data/img/product_main_images/small/16009.jpg","https://www.somogyi.hu/data/img/product_main_images/small/16009.jpg")</f>
        <v>0.0</v>
      </c>
      <c r="F2297" s="2" t="inlineStr">
        <is>
          <t>5999084940416</t>
        </is>
      </c>
      <c r="G2297" s="4" t="inlineStr">
        <is>
          <t>Elgondolkodott már azon, hogyan tehetné otthona hangulatát még varázslatosabbá? A KKL 500F/WH fényfüzérrel megtalálta a tökéletes megoldást!
Ez a különleges fényfüzér kiváló választás mind kintre, mind bentre, melyben a melegfehér, állandóan világító LED-ek között minden tizedik hidegfehér fény fel-fel villanása teszi igazán egyedivé a 
látványt. 
A fehér 5 méteres tápvezetéknek köszönhetően rugalmasan elhelyezhető.
A megbízható tápellátásról a kültéri IP44-es hálózati adapter gondoskodik.
Változtassa át otthonát vagy kertjét egy igazi mesebeli környezetté a KKL 500F/WH fényfüzérrel!</t>
        </is>
      </c>
    </row>
    <row r="2298">
      <c r="A2298" s="3" t="inlineStr">
        <is>
          <t>LEDS096V</t>
        </is>
      </c>
      <c r="B2298" s="2" t="inlineStr">
        <is>
          <t>iSparkle LEDS096V LED-es fényfüzér, 9,5 m / 96 db RGB LED, applikációval vezérelhető, smart, kül- és beltéri kivitel</t>
        </is>
      </c>
      <c r="C2298" s="1" t="n">
        <v>6690.0</v>
      </c>
      <c r="D2298" s="7" t="n">
        <f>HYPERLINK("https://www.somogyi.hu/product/isparkle-leds096v-led-es-fenyfuzer-9-5-m-96-db-rgb-led-applikacioval-vezerelheto-smart-kul-es-belteri-kivitel-leds096v-17711","https://www.somogyi.hu/product/isparkle-leds096v-led-es-fenyfuzer-9-5-m-96-db-rgb-led-applikacioval-vezerelheto-smart-kul-es-belteri-kivitel-leds096v-17711")</f>
        <v>0.0</v>
      </c>
      <c r="E2298" s="7" t="n">
        <f>HYPERLINK("https://www.somogyi.hu/data/img/product_main_images/small/17711.jpg","https://www.somogyi.hu/data/img/product_main_images/small/17711.jpg")</f>
        <v>0.0</v>
      </c>
      <c r="F2298" s="2" t="inlineStr">
        <is>
          <t>5999084957339</t>
        </is>
      </c>
      <c r="G2298" s="4" t="inlineStr">
        <is>
          <t>Az iSparkle LEDS096V LED-es fényfüzér egyedülálló módon ötvözi a színek gazdagságát és a vezérlés egyszerűségét. A fényfüzér beltéri és kültéri használatra is ideális, varázslatos hangulatot teremt minden környezetben.
A 9,5 méteren elhelyezkedő 96 darab RGB LED sokszínű skálát kínál, hogy minden alkalomhoz tökéletes megjelenést varázsolhasson.
Az iSparkle applikációval való vezérlés egyszerű. Választhat a lehetséges színek és üzemmódok közül, vagy több termékből hozhat létre csoportokat, melyeket egyetlen érintéssel irányíthat. Az intuitív applikáció segítségével az iSparkle fényeket könnyedén szabályozhatja, pillanatok alatt hangulatához igazítva. 
A kültéri IP44-es hálózati adapter garantálja a biztonságos működést. A zöld színű vezeték észrevétlenül illeszkedik környezetébe, így a figyelem a fényekre és a hangulatra irányul.
Fedezze fel az iSparkle LEDS096V LED-es fényfűzér sokszínű világát, és teremtsen tökéletes atmoszférát otthonában vagy kertjében!</t>
        </is>
      </c>
    </row>
    <row r="2299">
      <c r="A2299" s="3" t="inlineStr">
        <is>
          <t>ML 112 RGB</t>
        </is>
      </c>
      <c r="B2299" s="2" t="inlineStr">
        <is>
          <t>Home ML 112 RGB micro LED-es fényfüzér, 10 m / 100 db RGB micro LED, 12 fényprogram, távirányító, USB csatlakozó, kül- és beltéri kivitel</t>
        </is>
      </c>
      <c r="C2299" s="1" t="n">
        <v>8990.0</v>
      </c>
      <c r="D2299" s="7" t="n">
        <f>HYPERLINK("https://www.somogyi.hu/product/home-ml-112-rgb-micro-led-es-fenyfuzer-10-m-100-db-rgb-micro-led-12-fenyprogram-taviranyito-usb-csatlakozo-kul-es-belteri-kivitel-ml-112-rgb-17350","https://www.somogyi.hu/product/home-ml-112-rgb-micro-led-es-fenyfuzer-10-m-100-db-rgb-micro-led-12-fenyprogram-taviranyito-usb-csatlakozo-kul-es-belteri-kivitel-ml-112-rgb-17350")</f>
        <v>0.0</v>
      </c>
      <c r="E2299" s="7" t="n">
        <f>HYPERLINK("https://www.somogyi.hu/data/img/product_main_images/small/17350.jpg","https://www.somogyi.hu/data/img/product_main_images/small/17350.jpg")</f>
        <v>0.0</v>
      </c>
      <c r="F2299" s="2" t="inlineStr">
        <is>
          <t>5999084953720</t>
        </is>
      </c>
      <c r="G2299" s="4" t="inlineStr">
        <is>
          <t>Hozza be otthonába az elbűvölő ML 112 RGB microLED-es fényfüzért, melyet távirányítóval irányíthat, és teremtse meg a tökéletes atmoszférát!
Ez a beltéri fényfüzér egyedülálló világítási élményt kínál, melyet az 100 db RGB LED és a 12 dinamikus, látványos fényeffekt tesz még különlegesebbé. Válassza a 12 állófény közül kedvenc színét, és döntsön az ismétlődő időzítés két lehetősége közül: 4 óra bekapcsolva és 20 óra kikapcsolva, vagy 8 óra bekapcsolva és 16 óra kikapcsolva. A kényelmes USB tápellátás (adapter nélkül) és a mellékelt távirányító (CR2025 elemmel) segítségével könnyedén alakíthatja a hangulatot.
Ne habozzon, válassza az ML 112 RGB microLED-es fényfüzért, és tegye otthonát hangulatosabbá a saját egyéni stílusában!</t>
        </is>
      </c>
    </row>
    <row r="2300">
      <c r="A2300" s="3" t="inlineStr">
        <is>
          <t>ML 20/WW</t>
        </is>
      </c>
      <c r="B2300" s="2" t="inlineStr">
        <is>
          <t>Home ML 20/WW micro LED-es fényfüzér, 1,9 m / 20 db melegfehér micro LED, állófényű, átlátszó vezeték, elemes, beltéri kivitel</t>
        </is>
      </c>
      <c r="C2300" s="1" t="n">
        <v>839.0</v>
      </c>
      <c r="D2300" s="7" t="n">
        <f>HYPERLINK("https://www.somogyi.hu/product/home-ml-20-ww-micro-led-es-fenyfuzer-1-9-m-20-db-melegfeher-micro-led-allofenyu-atlatszo-vezetek-elemes-belteri-kivitel-ml-20-ww-14718","https://www.somogyi.hu/product/home-ml-20-ww-micro-led-es-fenyfuzer-1-9-m-20-db-melegfeher-micro-led-allofenyu-atlatszo-vezetek-elemes-belteri-kivitel-ml-20-ww-14718")</f>
        <v>0.0</v>
      </c>
      <c r="E2300" s="7" t="n">
        <f>HYPERLINK("https://www.somogyi.hu/data/img/product_main_images/small/14718.jpg","https://www.somogyi.hu/data/img/product_main_images/small/14718.jpg")</f>
        <v>0.0</v>
      </c>
      <c r="F2300" s="2" t="inlineStr">
        <is>
          <t>5999084927608</t>
        </is>
      </c>
      <c r="G2300" s="4" t="inlineStr">
        <is>
          <t>Akár egy romantikus vacsora, akár egy pihentető esti lazulás, a megfelelő világítás mindig kulcsfontosságú.
Az ML 20/WW pont ezt kínálja: egy beltéri fényfüzér 20 db melegfehér micro-LED-del, amelyek mindegyike fényesen ragyogó, pontszerű fényt bocsát ki. 
A vékony, átlátszó vezeték lehetővé teszi, hogy a fényfüzért bárhová feltűnésmentesen elhelyezze. 
A be- és kikapcsolóval könnyedén irányíthatja a fényeket, a tápellátás 2 x 1,5 V (AA) elemmel működik, amelyek nem tartoznak a csomaghoz.
Varázsoljon meghitt hangulatot otthonában az ML 20/WW fényfüzérrel, és élvezze a melegfehér micro-LED-ek által teremtett csodálatos atmoszférát!</t>
        </is>
      </c>
    </row>
    <row r="2301">
      <c r="A2301" s="3" t="inlineStr">
        <is>
          <t>ML 20/M</t>
        </is>
      </c>
      <c r="B2301" s="2" t="inlineStr">
        <is>
          <t>Home ML 20/M micro LED-es fényfüzér, 1,9 m / 20 db színes micro LED, állófényű, átlátszó vezeték, elemes, beltéri kivitel</t>
        </is>
      </c>
      <c r="C2301" s="1" t="n">
        <v>839.0</v>
      </c>
      <c r="D2301" s="7" t="n">
        <f>HYPERLINK("https://www.somogyi.hu/product/home-ml-20-m-micro-led-es-fenyfuzer-1-9-m-20-db-szines-micro-led-allofenyu-atlatszo-vezetek-elemes-belteri-kivitel-ml-20-m-17745","https://www.somogyi.hu/product/home-ml-20-m-micro-led-es-fenyfuzer-1-9-m-20-db-szines-micro-led-allofenyu-atlatszo-vezetek-elemes-belteri-kivitel-ml-20-m-17745")</f>
        <v>0.0</v>
      </c>
      <c r="E2301" s="7" t="n">
        <f>HYPERLINK("https://www.somogyi.hu/data/img/product_main_images/small/17745.jpg","https://www.somogyi.hu/data/img/product_main_images/small/17745.jpg")</f>
        <v>0.0</v>
      </c>
      <c r="F2301" s="2" t="inlineStr">
        <is>
          <t>5999084957674</t>
        </is>
      </c>
      <c r="G2301" s="4" t="inlineStr">
        <is>
          <t>Akár egy romantikus vacsora, akár egy pihentető esti lazulás, a megfelelő világítás mindig kulcsfontosságú.
Az ML 20/M pont ezt kínálja: egy beltéri fényfüzér 20 db színes micro-LED-del, amelyek mindegyike fényesen ragyogó, pontszerű fényt bocsát ki. 
A vékony, átlátszó vezeték lehetővé teszi, hogy a fényfüzért bárhová feltűnésmentesen elhelyezze. 
A be- és kikapcsolóval könnyedén irányíthatja a fényeket, a tápellátás 2 x 1,5 V (AA) elemmel működik, amelyek nem tartoznak a csomaghoz.
Varázsoljon meghitt hangulatot otthonában az ML 20/M fényfüzérrel, és élvezze a színes micro-LED-ek által teremtett csodálatos atmoszférát!</t>
        </is>
      </c>
    </row>
    <row r="2302">
      <c r="A2302" s="3" t="inlineStr">
        <is>
          <t>ML 160/WH</t>
        </is>
      </c>
      <c r="B2302" s="2" t="inlineStr">
        <is>
          <t>Home ML 160/WH micro LED-es fényfüzér, 15,9 m / 160 db hidegfehér micro LED, állófényű, vékony vezeték, hálózati adapter, kül- és beltéri kivitel</t>
        </is>
      </c>
      <c r="C2302" s="1" t="n">
        <v>5690.0</v>
      </c>
      <c r="D2302" s="7" t="n">
        <f>HYPERLINK("https://www.somogyi.hu/product/home-ml-160-wh-micro-led-es-fenyfuzer-15-9-m-160-db-hidegfeher-micro-led-allofenyu-vekony-vezetek-halozati-adapter-kul-es-belteri-kivitel-ml-160-wh-17731","https://www.somogyi.hu/product/home-ml-160-wh-micro-led-es-fenyfuzer-15-9-m-160-db-hidegfeher-micro-led-allofenyu-vekony-vezetek-halozati-adapter-kul-es-belteri-kivitel-ml-160-wh-17731")</f>
        <v>0.0</v>
      </c>
      <c r="E2302" s="7" t="n">
        <f>HYPERLINK("https://www.somogyi.hu/data/img/product_main_images/small/17731.jpg","https://www.somogyi.hu/data/img/product_main_images/small/17731.jpg")</f>
        <v>0.0</v>
      </c>
      <c r="F2302" s="2" t="inlineStr">
        <is>
          <t>5999084957537</t>
        </is>
      </c>
      <c r="G2302" s="4" t="inlineStr">
        <is>
          <t>Színtiszta csillogás és varázslatos hangulat - válassza az ML 160/WH microLED-es fényfüzért, hogy otthonát ragyogóbbá és meghittebbé varázsolhassa!
Ezt a rendkívüli fényfüzért beltérbe vagy szabadba is telepítheti, a vékony vezeték és a 160 darab hidegfehér microLED gondoskodik arról, hogy az eredmény mindig lenyűgöző legyen. Az füzér szikrázó fénye, valamint a hosszú, 15,9 méteres kábel egyaránt lehetővé teszi a kreatív dekorációt és a hangulatos megvilágítást.
Tegye lakását különlegessé az ML 160/WH microLED-es fényfüzér segítségével!</t>
        </is>
      </c>
    </row>
    <row r="2303">
      <c r="A2303" s="3" t="inlineStr">
        <is>
          <t>LED 100/A</t>
        </is>
      </c>
      <c r="B2303" s="2" t="inlineStr">
        <is>
          <t>Home LED 100/A LED-es fényfüzér, 9,9 m / 100 db borostyán színű LED, állófényű, zöld vezeték, hálózati adapter, kül- és beltéri kivitel</t>
        </is>
      </c>
      <c r="C2303" s="1" t="n">
        <v>7990.0</v>
      </c>
      <c r="D2303" s="7" t="n">
        <f>HYPERLINK("https://www.somogyi.hu/product/home-led-100-a-led-es-fenyfuzer-9-9-m-100-db-borostyan-szinu-led-allofenyu-zold-vezetek-halozati-adapter-kul-es-belteri-kivitel-led-100-a-17730","https://www.somogyi.hu/product/home-led-100-a-led-es-fenyfuzer-9-9-m-100-db-borostyan-szinu-led-allofenyu-zold-vezetek-halozati-adapter-kul-es-belteri-kivitel-led-100-a-17730")</f>
        <v>0.0</v>
      </c>
      <c r="E2303" s="7" t="n">
        <f>HYPERLINK("https://www.somogyi.hu/data/img/product_main_images/small/17730.jpg","https://www.somogyi.hu/data/img/product_main_images/small/17730.jpg")</f>
        <v>0.0</v>
      </c>
      <c r="F2303" s="2" t="inlineStr">
        <is>
          <t>5999084957520</t>
        </is>
      </c>
      <c r="G2303" s="4" t="inlineStr">
        <is>
          <t>Szeretne egy ünnepi világítást, amely egyaránt kiszolgálja otthona belső és külső tereit? A LED 100/A a tökéletes választás azoknak, akik egy univerzális világítási megoldást keresnek. 
A termék 100 borostyán színű, állófényű LED-del rendelkezik, melyek ragyogó, meleg hangulatot teremtenek. 
A zöld vezeték láthatatlanul olvad bele a növényzetbe vagy díszítésbe, így a LED-ek előtérbe kerülnek. 
Az egyik legpraktikusabb jellemzője a 6 óra bekapcsolt és 18 óra kikapcsolt állapotú ismétlődő időzítés, melynek használatával nem kell naponta foglalkoznia a be- és kikapcsolással. 
Ráadásul a kültéri IP44-es adapternek köszönhetően az időjárás viszontagságai ellen is védett.
Engedje meg, hogy az LED 100/A elvarázsolja otthonát, és élvezze a meleg, borostyánfényű ragyogást minden napszakban!</t>
        </is>
      </c>
    </row>
    <row r="2304">
      <c r="A2304" s="3" t="inlineStr">
        <is>
          <t>MLF 240 RGB SMART</t>
        </is>
      </c>
      <c r="B2304" s="2" t="inlineStr">
        <is>
          <t>Home MLF 240 RGB SMART micro LED-es fényfüggöny, 3x2,4 m / 240 RGB micro LED, smart, távirányító, USB csatlakozó, beltéri kivitel</t>
        </is>
      </c>
      <c r="C2304" s="1" t="n">
        <v>20490.0</v>
      </c>
      <c r="D2304" s="7" t="n">
        <f>HYPERLINK("https://www.somogyi.hu/product/home-mlf-240-rgb-smart-micro-led-es-fenyfuggony-3x2-4-m-240-rgb-micro-led-smart-taviranyito-usb-csatlakozo-belteri-kivitel-mlf-240-rgb-smart-17722","https://www.somogyi.hu/product/home-mlf-240-rgb-smart-micro-led-es-fenyfuggony-3x2-4-m-240-rgb-micro-led-smart-taviranyito-usb-csatlakozo-belteri-kivitel-mlf-240-rgb-smart-17722")</f>
        <v>0.0</v>
      </c>
      <c r="E2304" s="7" t="n">
        <f>HYPERLINK("https://www.somogyi.hu/data/img/product_main_images/small/17722.jpg","https://www.somogyi.hu/data/img/product_main_images/small/17722.jpg")</f>
        <v>0.0</v>
      </c>
      <c r="F2304" s="2" t="inlineStr">
        <is>
          <t>5999084957445</t>
        </is>
      </c>
      <c r="G2304" s="4" t="inlineStr">
        <is>
          <t>Szeretné otthonát egyedi, testreszabható fényekkel feldobni? A Home MLF 240 RGB SMART micro LED-es fényfüggöny ideális választás minden olyan helyiségbe, ahol különleges fényhatásokkal szeretne hangulatot teremteni. 
Ez a 3 x 2,4 méteres fényfüggöny 240 db RGB micro LED-et tartalmaz, amelyek színes és látványos fényjátékot biztosítanak, tökéletesen illeszkedve bármilyen beltéri környezethez. A 10 füzérből álló rendszer mindegyikén 24 LED helyezkedik el, így egyenletes fényeloszlást ér el a teljes felületen. A fényfüggöny különlegessége, hogy smart funkciókkal van ellátva, így a világítás vezérlése rendkívül kényelmes: a mellékelt távirányítóval, illetve mobiltelefonos applikációval is szabályozható. Ez lehetővé teszi, hogy azonnal személyre szabja a fények színét és dinamikáját. A rendszer 16 fix színt és 8 dinamikus üzemmódot kínál, melyek közé tartoznak a villogó, átmenetes és egyéb lenyűgöző fényjátékok. 
A beépített időzítő, valamint a fényerő és sebességkontroll segítségével teljesen az Ön igényeihez alakíthatja a világítást, akár nyugodt, akár pezsgő hangulatra vágyik. A fényfüggöny USB csatlakozóval működik (adapter nem tartozék), így könnyen csatlakoztatható bármilyen USB forráshoz. A csomagban található távirányító pedig azonnali hozzáférést biztosít a fények teljes vezérléséhez (a szükséges CR2025 gombelemmel együtt). fEz a beltéri kivitel modern megoldást nyújt, legyen szó egy ünnepi dekorációról, party megvilágításról vagy egyszerűen hangulatvilágításról a mindennapokra. A színek és üzemmódok széles választéka biztosítja, hogy minden alkalomra tökéletes fényhatásokat érjen el.
Teremtsen különleges fényhatásokat otthonában ezzel a sokoldalú, intelligens fényfüggönnyel!</t>
        </is>
      </c>
    </row>
    <row r="2305">
      <c r="A2305" s="3" t="inlineStr">
        <is>
          <t>LEDS144C-APP</t>
        </is>
      </c>
      <c r="B2305" s="2" t="inlineStr">
        <is>
          <t>iSparkle LEDS144C-APP LED-es fényfüzérköteg, 144 db RGB LED, applikációval vezérelhető, smart, kül- és beltéri kivitel</t>
        </is>
      </c>
      <c r="C2305" s="1" t="n">
        <v>8890.0</v>
      </c>
      <c r="D2305" s="7" t="n">
        <f>HYPERLINK("https://www.somogyi.hu/product/isparkle-leds144c-app-led-es-fenyfuzerkoteg-144-db-rgb-led-applikacioval-vezerelheto-smart-kul-es-belteri-kivitel-leds144c-app-17718","https://www.somogyi.hu/product/isparkle-leds144c-app-led-es-fenyfuzerkoteg-144-db-rgb-led-applikacioval-vezerelheto-smart-kul-es-belteri-kivitel-leds144c-app-17718")</f>
        <v>0.0</v>
      </c>
      <c r="E2305" s="7" t="n">
        <f>HYPERLINK("https://www.somogyi.hu/data/img/product_main_images/small/17718.jpg","https://www.somogyi.hu/data/img/product_main_images/small/17718.jpg")</f>
        <v>0.0</v>
      </c>
      <c r="F2305" s="2" t="inlineStr">
        <is>
          <t>5999084957407</t>
        </is>
      </c>
      <c r="G2305" s="4" t="inlineStr">
        <is>
          <t>Az iSparkle LEDS144C-APP LED-es fényfüzérköteg egyedülálló módon ötvözi a színek gazdagságát és a vezérlés egyszerűségét. Hangulatot teremt és modern dizájnt kínál. A fényfüzér beltéri és kültéri használatra is ideális, varázslatos hangulatot teremt minden környezetben.
Az 144 darab RGB LED sokszínű skálát kínál, hogy minden alkalomhoz tökéletes megjelenést varázsolhasson. Az egy pontból induló 8 darab füzér egyenként 1,8 méter hosszú, mindegyiken 18 LED található. 
Az iSparkle applikációval való vezérlés egyszerű. Választhat a lehetséges színek és üzemmódok közül, vagy több termékből hozhat létre csoportokat, melyeket egyetlen érintéssel irányíthat. Az intuitív applikáció segítségével az iSparkle fényeket könnyedén szabályozhatja, pillanatok alatt hangulatához igazítva. 
A kültéri IP44-es hálózati adapter garantálja a biztonságos működést. A zöld színű vezeték észrevétlenül illeszkedik környezetébe, így a figyelem a fényekre és a hangulatra irányul.
Fedezze fel az iSparkle LEDS144C-APP LED-es fényfüzérköteg sokszínű világát, és teremtsen tökéletes atmoszférát otthonában vagy kertjében!</t>
        </is>
      </c>
    </row>
    <row r="2306">
      <c r="A2306" s="3" t="inlineStr">
        <is>
          <t>LEDS120CV-2</t>
        </is>
      </c>
      <c r="B2306" s="2" t="inlineStr">
        <is>
          <t>iSparkle LEDS120CV-2 micro LED-es fényfüggöny, 2x2 m / 120 db RGB LED, applikációval vezérelhető, smart, kül- és beltéri kivitel</t>
        </is>
      </c>
      <c r="C2306" s="1" t="n">
        <v>10490.0</v>
      </c>
      <c r="D2306" s="7" t="n">
        <f>HYPERLINK("https://www.somogyi.hu/product/isparkle-leds120cv-2-micro-led-es-fenyfuggony-2x2-m-120-db-rgb-led-applikacioval-vezerelheto-smart-kul-es-belteri-kivitel-leds120cv-2-17717","https://www.somogyi.hu/product/isparkle-leds120cv-2-micro-led-es-fenyfuggony-2x2-m-120-db-rgb-led-applikacioval-vezerelheto-smart-kul-es-belteri-kivitel-leds120cv-2-17717")</f>
        <v>0.0</v>
      </c>
      <c r="E2306" s="7" t="n">
        <f>HYPERLINK("https://www.somogyi.hu/data/img/product_main_images/small/17717.jpg","https://www.somogyi.hu/data/img/product_main_images/small/17717.jpg")</f>
        <v>0.0</v>
      </c>
      <c r="F2306" s="2" t="inlineStr">
        <is>
          <t>5999084957391</t>
        </is>
      </c>
      <c r="G2306" s="4" t="inlineStr">
        <is>
          <t>Az iSparkle LEDS120CV-2 micro LED-es fényfüggöny egyedülálló módon ötvözi a színek gazdagságát és a vezérlés egyszerűségét. Hangulatot teremt és modern dizájnt kínál. A fényfüzér beltéri és kültéri használatra is ideális, varázslatos hangulatot teremt minden környezetben.
A 6 füzéren elhelyezkedő 120 darab RGB microLED sokszínű skálát kínál, hogy minden alkalomhoz tökéletes megjelenést varázsolhasson. 
Az iSparkle applikációval való vezérlés egyszerű. Választhat a lehetséges színek és üzemmódok közül, vagy több termékből hozhat létre csoportokat, melyeket egyetlen érintéssel irányíthat. Az intuitív applikáció segítségével az iSparkle fényeket könnyedén szabályozhatja, pillanatok alatt hangulatához igazítva.
A kültéri IP44-es hálózati adapter garantálja a biztonságos működést. Az ezüst színű vezeték észrevétlenül illeszkedik környezetébe, így a figyelem a fényekre és a hangulatra irányul.
Fedezze fel az iSparkle LEDS120CV-2 micro LED-es fényfüggöny sokszínű világát, és teremtsen tökéletes atmoszférát otthonában vagy kertjében!</t>
        </is>
      </c>
    </row>
    <row r="2307">
      <c r="A2307" s="3" t="inlineStr">
        <is>
          <t>LEDS120V-C</t>
        </is>
      </c>
      <c r="B2307" s="2" t="inlineStr">
        <is>
          <t>iSparkle LEDS120V-C micro LED-es cluster fényfüzér, 3 m / 120 db RGB LED, applikációval vezérelhető, smart, kül- és beltéri kivitel</t>
        </is>
      </c>
      <c r="C2307" s="1" t="n">
        <v>9590.0</v>
      </c>
      <c r="D2307" s="7" t="n">
        <f>HYPERLINK("https://www.somogyi.hu/product/isparkle-leds120v-c-micro-led-es-cluster-fenyfuzer-3-m-120-db-rgb-led-applikacioval-vezerelheto-smart-kul-es-belteri-kivitel-leds120v-c-17716","https://www.somogyi.hu/product/isparkle-leds120v-c-micro-led-es-cluster-fenyfuzer-3-m-120-db-rgb-led-applikacioval-vezerelheto-smart-kul-es-belteri-kivitel-leds120v-c-17716")</f>
        <v>0.0</v>
      </c>
      <c r="E2307" s="7" t="n">
        <f>HYPERLINK("https://www.somogyi.hu/data/img/product_main_images/small/17716.jpg","https://www.somogyi.hu/data/img/product_main_images/small/17716.jpg")</f>
        <v>0.0</v>
      </c>
      <c r="F2307" s="2" t="inlineStr">
        <is>
          <t>5999084957384</t>
        </is>
      </c>
      <c r="G2307" s="4" t="inlineStr">
        <is>
          <t>Az iSparkle LEDS120V-C micro LED-es cluster fényfüzér egyedülálló módon ötvözi a színek gazdagságát és a vezérlés egyszerűségét. Hangulatot teremt és modern dizájnt kínál. A fényfűzér beltéri és kültéri használatra is ideális, varázslatos hangulatot teremt minden környezetben.
A 3 méteren elhelyezkedő 120 darab RGB micro LED sokszínű skálát kínál, hogy minden alkalomhoz tökéletes megjelenést varázsolhasson. Az iSparkle applikációval való vezérlés egyszerű. Választhat a lehetséges színek és üzemmódok közül, vagy több termékből hozhat létre csoportokat, melyeket egyetlen érintéssel irányíthat. Az intuitív applikáció segítségével az iSparkle fényeket könnyedén szabályozhatja, pillanatok alatt hangulatához igazítva. A kültéri IP44-es hálózati adapter garantálja a biztonságos működést. Az ezüst színű vezeték észrevétlenül illeszkedik környezetébe, így a figyelem a fényekre és a hangulatra irányul.
Fedezze fel az iSparkle LEDS120V-C micro LED-es cluster fényfüzér sokszínű világát, és teremtsen tökéletes atmoszférát otthonában vagy kertjében!</t>
        </is>
      </c>
    </row>
    <row r="2308">
      <c r="A2308" s="3" t="inlineStr">
        <is>
          <t>LEDS108IV-1</t>
        </is>
      </c>
      <c r="B2308" s="2" t="inlineStr">
        <is>
          <t>iSparkle LEDS108IV-1 LED-es fényfüggöny, 3 m / 108 db RGB LED, applikációval vezérelhető, smart, kül- és beltéri kivitel</t>
        </is>
      </c>
      <c r="C2308" s="1" t="n">
        <v>7690.0</v>
      </c>
      <c r="D2308" s="7" t="n">
        <f>HYPERLINK("https://www.somogyi.hu/product/isparkle-leds108iv-1-led-es-fenyfuggony-3-m-108-db-rgb-led-applikacioval-vezerelheto-smart-kul-es-belteri-kivitel-leds108iv-1-17715","https://www.somogyi.hu/product/isparkle-leds108iv-1-led-es-fenyfuggony-3-m-108-db-rgb-led-applikacioval-vezerelheto-smart-kul-es-belteri-kivitel-leds108iv-1-17715")</f>
        <v>0.0</v>
      </c>
      <c r="E2308" s="7" t="n">
        <f>HYPERLINK("https://www.somogyi.hu/data/img/product_main_images/small/17715.jpg","https://www.somogyi.hu/data/img/product_main_images/small/17715.jpg")</f>
        <v>0.0</v>
      </c>
      <c r="F2308" s="2" t="inlineStr">
        <is>
          <t>5999084957377</t>
        </is>
      </c>
      <c r="G2308" s="4" t="inlineStr">
        <is>
          <t>Az iSparkle LEDS108IV-1 LED-es fényfüggöny egyedülálló módon ötvözi a színek gazdagságát és a vezérlés egyszerűségét. A fényfűzér beltéri és kültéri használatra is ideális, varázslatos hangulatot teremt minden környezetben.
A 24 füzéren elhelyezkedő 108 darab RGB LED sokszínű skálát kínál, hogy minden alkalomhoz tökéletes megjelenést varázsolhasson. A füzéreken felváltva 6 és 3 RGB LED található.
Az iSparkle applikációval való vezérlés egyszerű. Választhat a lehetséges színek és üzemmódok közül, vagy több termékből hozhat létre csoportokat, melyeket egyetlen érintéssel irányíthat. 
Az intuitív applikáció segítségével az iSparkle fényeket könnyedén szabályozhatja, pillanatok alatt hangulatához igazítva. 
A kültéri IP44-es hálózati adapter garantálja a biztonságos működést. Az átlátszó színű vezeték észrevétlenül illeszkedik környezetébe, így a figyelem a fényekre és a hangulatra irányul.
Fedezze fel az iSparkle LEDS108IV-1 LED-es fényfüggöny sokszínű világát, és teremtsen tökéletes atmoszférát otthonában vagy kertjében!</t>
        </is>
      </c>
    </row>
    <row r="2309">
      <c r="A2309" s="3" t="inlineStr">
        <is>
          <t>LEDS198V</t>
        </is>
      </c>
      <c r="B2309" s="2" t="inlineStr">
        <is>
          <t>iSparkle LEDS198V LED-es fényfüzér, 19,7 m / 198 db RGB LED, applikációval vezérelhető, smart, kül- és beltéri kivitel</t>
        </is>
      </c>
      <c r="C2309" s="1" t="n">
        <v>9790.0</v>
      </c>
      <c r="D2309" s="7" t="n">
        <f>HYPERLINK("https://www.somogyi.hu/product/isparkle-leds198v-led-es-fenyfuzer-19-7-m-198-db-rgb-led-applikacioval-vezerelheto-smart-kul-es-belteri-kivitel-leds198v-17712","https://www.somogyi.hu/product/isparkle-leds198v-led-es-fenyfuzer-19-7-m-198-db-rgb-led-applikacioval-vezerelheto-smart-kul-es-belteri-kivitel-leds198v-17712")</f>
        <v>0.0</v>
      </c>
      <c r="E2309" s="7" t="n">
        <f>HYPERLINK("https://www.somogyi.hu/data/img/product_main_images/small/17712.jpg","https://www.somogyi.hu/data/img/product_main_images/small/17712.jpg")</f>
        <v>0.0</v>
      </c>
      <c r="F2309" s="2" t="inlineStr">
        <is>
          <t>5999084957346</t>
        </is>
      </c>
      <c r="G2309" s="4" t="inlineStr">
        <is>
          <t>Az iSparkle LEDS198V LED-es fényfüzér egyedülálló módon ötvözi a színek gazdagságát és a vezérlés egyszerűségét. Hangulatot teremt és modern dizájnt kínál. A fényfüzér beltéri és kültéri használatra is ideális, varázslatos hangulatot teremt minden környezetben.
A 19,7 méteren elhelyezkedő 198 darab RGB LED sokszínű skálát kínál, hogy minden alkalomhoz tökéletes megjelenést varázsolhasson.
Az iSparkle applikációval való vezérlés egyszerű. Választhat a lehetséges színek és üzemmódok közül, vagy több termékből hozhat létre csoportokat, melyeket egyetlen érintéssel irányíthat. Az intuitív applikáció segítségével az iSparkle fényeket könnyedén szabályozhatja, pillanatok alatt hangulatához igazítva. 
A kültéri IP44-es hálózati adapter garantálja a biztonságos működést. A zöld színű vezeték észrevétlenül illeszkedik környezetébe, így a figyelem a fényekre és a hangulatra irányul.
Fedezze fel az iSparkle LEDS198V LED-es fényfüzér sokszínű világát, és teremtsen tökéletes atmoszférát otthonában vagy kertjében!</t>
        </is>
      </c>
    </row>
    <row r="2310">
      <c r="A2310" s="3" t="inlineStr">
        <is>
          <t>LC 768/M</t>
        </is>
      </c>
      <c r="B2310" s="2" t="inlineStr">
        <is>
          <t>Home LC 768/M LED-es cluster fényfüzér 7,5 m / 768 db színes LED, fekete vezeték, 8 fényprogram, távirányító, hálózati adapter, kül- és beltéri kivitel</t>
        </is>
      </c>
      <c r="C2310" s="1" t="n">
        <v>21790.0</v>
      </c>
      <c r="D2310" s="7" t="n">
        <f>HYPERLINK("https://www.somogyi.hu/product/home-lc-768-m-led-es-cluster-fenyfuzer-7-5-m-768-db-szines-led-fekete-vezetek-8-fenyprogram-taviranyito-halozati-adapter-kul-es-belteri-kivitel-lc-768-m-17503","https://www.somogyi.hu/product/home-lc-768-m-led-es-cluster-fenyfuzer-7-5-m-768-db-szines-led-fekete-vezetek-8-fenyprogram-taviranyito-halozati-adapter-kul-es-belteri-kivitel-lc-768-m-17503")</f>
        <v>0.0</v>
      </c>
      <c r="E2310" s="7" t="n">
        <f>HYPERLINK("https://www.somogyi.hu/data/img/product_main_images/small/17503.jpg","https://www.somogyi.hu/data/img/product_main_images/small/17503.jpg")</f>
        <v>0.0</v>
      </c>
      <c r="F2310" s="2" t="inlineStr">
        <is>
          <t>5999084955250</t>
        </is>
      </c>
      <c r="G2310" s="4" t="inlineStr">
        <is>
          <t>Szeretné otthonát lenyűgöző fényekkel díszíteni az ünnepekre? A Home LC 768/M LED-es cluster fényfüzér tökéletes választás, hogy kültéri és beltéri dekorációjával elvarázsolja az ünnepi időszakot. 
Ez a fényfüzér 768 darab ∅3 mm-es LED-del van felszerelve, amelyek intenzív és káprázatos fényt biztosítanak. A fekete vezeték diszkréten simul bele a környezetbe, kiemelve a LED-ek ragyogását.
A fényfüzér 8 különböző világítási funkcióval rendelkezik, memóriás kivitelének köszönhetően pedig emlékszik az utoljára beállított módra. Az állítható fényerő segítségével könnyedén szabályozhatja a kívánt fényhatást. A folyamatos üzemmód mellett háromféle ismétlődő időzítési lehetőség is rendelkezésre áll: 6 óra ON / 18 óra OFF, 8 óra ON / 16 óra OFF, vagy 6 óra ON / 6 óra OFF / 3 óra ON / 9 óra OFF.
A távirányítóval (CR2025 elem tartozék) egyszerűen vezérelheti a fényfüzért, így kényelmesen állíthatja be a kívánt fényhatást. A tápellátást egy IP44-es védettségű kültéri hálózati adapter biztosítja, amely gondoskodik a biztonságos használatról bármilyen környezetben.
Hozzon varázslatos fényeket otthonába a Home LC 768/M LED-es cluster fényfüzérrel! Rendelje meg most, és élvezze a csodálatos ünnepi hangulatot minden nap!</t>
        </is>
      </c>
    </row>
    <row r="2311">
      <c r="A2311" s="3" t="inlineStr">
        <is>
          <t>ML 200 RGB SMART</t>
        </is>
      </c>
      <c r="B2311" s="2" t="inlineStr">
        <is>
          <t>Home ML 200 RGB SMART micro LED-es fényfüzér, 20 m / 200 db RGB micro LED, applikációval vezérelhető, USB csatlakozó, beltéri kivitel</t>
        </is>
      </c>
      <c r="C2311" s="1" t="n">
        <v>11790.0</v>
      </c>
      <c r="D2311" s="7" t="n">
        <f>HYPERLINK("https://www.somogyi.hu/product/home-ml-200-rgb-smart-micro-led-es-fenyfuzer-20-m-200-db-rgb-micro-led-applikacioval-vezerelheto-usb-csatlakozo-belteri-kivitel-ml-200-rgb-smart-17349","https://www.somogyi.hu/product/home-ml-200-rgb-smart-micro-led-es-fenyfuzer-20-m-200-db-rgb-micro-led-applikacioval-vezerelheto-usb-csatlakozo-belteri-kivitel-ml-200-rgb-smart-17349")</f>
        <v>0.0</v>
      </c>
      <c r="E2311" s="7" t="n">
        <f>HYPERLINK("https://www.somogyi.hu/data/img/product_main_images/small/17349.jpg","https://www.somogyi.hu/data/img/product_main_images/small/17349.jpg")</f>
        <v>0.0</v>
      </c>
      <c r="F2311" s="2" t="inlineStr">
        <is>
          <t>5999084953713</t>
        </is>
      </c>
      <c r="G2311" s="4" t="inlineStr">
        <is>
          <t>Fedezze fel az ML 200 RGB SMART beltéri LED világítást, amely az innovatív applikációval vezérelhető funkcióival új szintre emeli otthoni dekorációját!
A 20 méter hosszú fényfüzér 29 dinamikus üzemmódja, zenéhez szinkronizálása és időzítője garantálja az egyedülálló hangulatot minden alkalomra. A fényerő és sebesség szabályozása 1-100% között lehetséges, valamint a színek testreszabhatók az Ön egyéni ízlése szerint. Az 200 darab RGB LED ragyogó fényjátékot varázsol otthonába. Praktikus USB tápellátással rendelkezik (az adapter nem tartozék).
Ne hagyja ki a lehetőséget, hogy az ML 200 RGB SMART LED világítással lenyűgöző atmoszférát teremtsen otthonában!</t>
        </is>
      </c>
    </row>
    <row r="2312">
      <c r="A2312" s="3" t="inlineStr">
        <is>
          <t>ML 100 RGB SMART</t>
        </is>
      </c>
      <c r="B2312" s="2" t="inlineStr">
        <is>
          <t>Home ML 100 RGB SMART micro LED-es fényfüzér, 10 m / 100 db RGB micro LED, applikációval vezérelhető, USB csatlakozó, beltéri kivitel</t>
        </is>
      </c>
      <c r="C2312" s="1" t="n">
        <v>10690.0</v>
      </c>
      <c r="D2312" s="7" t="n">
        <f>HYPERLINK("https://www.somogyi.hu/product/home-ml-100-rgb-smart-micro-led-es-fenyfuzer-10-m-100-db-rgb-micro-led-applikacioval-vezerelheto-usb-csatlakozo-belteri-kivitel-ml-100-rgb-smart-17348","https://www.somogyi.hu/product/home-ml-100-rgb-smart-micro-led-es-fenyfuzer-10-m-100-db-rgb-micro-led-applikacioval-vezerelheto-usb-csatlakozo-belteri-kivitel-ml-100-rgb-smart-17348")</f>
        <v>0.0</v>
      </c>
      <c r="E2312" s="7" t="n">
        <f>HYPERLINK("https://www.somogyi.hu/data/img/product_main_images/small/17348.jpg","https://www.somogyi.hu/data/img/product_main_images/small/17348.jpg")</f>
        <v>0.0</v>
      </c>
      <c r="F2312" s="2" t="inlineStr">
        <is>
          <t>5999084953706</t>
        </is>
      </c>
      <c r="G2312" s="4" t="inlineStr">
        <is>
          <t>Fedezze fel az ML 100 RGB SMART beltéri LED világítást, amely az innovatív applikációval vezérelhető funkcióival új szintre emeli otthoni dekorációját!
A 10 méter hosszú fényfüzér 29 dinamikus üzemmódja, zenéhez szinkronizálása és időzítője garantálja az egyedülálló hangulatot minden alkalomra. A fényerő és sebesség szabályozása 1-100% között lehetséges, valamint a színek testreszabhatók az Ön egyéni ízlése szerint. Az 100 darab RGB LED ragyogó fényjátékot varázsol otthonába. Praktikus USB tápellátással rendelkezik (az adapter nem tartozék).
Ne hagyja ki a lehetőséget, hogy az ML 100 RGB SMART LED világítással lenyűgöző atmoszférát teremtsen otthonában!</t>
        </is>
      </c>
    </row>
    <row r="2313">
      <c r="A2313" s="3" t="inlineStr">
        <is>
          <t>LC 768/WW</t>
        </is>
      </c>
      <c r="B2313" s="2" t="inlineStr">
        <is>
          <t>Home LC 768/WW LED-es cluster fényfüzér 7,5 m / 768 db melegfehér LED, fekete vezeték, 8 fényprogram, távirányító, hálózati adapter, kül- és beltéri kivitel</t>
        </is>
      </c>
      <c r="C2313" s="1" t="n">
        <v>21790.0</v>
      </c>
      <c r="D2313" s="7" t="n">
        <f>HYPERLINK("https://www.somogyi.hu/product/home-lc-768-ww-led-es-cluster-fenyfuzer-7-5-m-768-db-melegfeher-led-fekete-vezetek-8-fenyprogram-taviranyito-halozati-adapter-kul-es-belteri-kivitel-lc-768-ww-17330","https://www.somogyi.hu/product/home-lc-768-ww-led-es-cluster-fenyfuzer-7-5-m-768-db-melegfeher-led-fekete-vezetek-8-fenyprogram-taviranyito-halozati-adapter-kul-es-belteri-kivitel-lc-768-ww-17330")</f>
        <v>0.0</v>
      </c>
      <c r="E2313" s="7" t="n">
        <f>HYPERLINK("https://www.somogyi.hu/data/img/product_main_images/small/17330.jpg","https://www.somogyi.hu/data/img/product_main_images/small/17330.jpg")</f>
        <v>0.0</v>
      </c>
      <c r="F2313" s="2" t="inlineStr">
        <is>
          <t>5999084953522</t>
        </is>
      </c>
      <c r="G2313" s="4" t="inlineStr">
        <is>
          <t>Lépjen be az LC 768/WW LED-es cluster függöny világába, amely minden beltéri és kültéri dekorációt egyedivé varázsol!
A 768 db apró, 3 mm-es átmérőjű melegfehér LED fénye ragyogó atmoszférát teremt, amelyet a fekete vezeték harmonikusan egészít ki. A 8 funkcióval, memóriával rendelkező üzemmód és az állítható fényerő gondoskodik a mindig tökéletes hangulatról. Válasszon a 3 kiválasztható ismétlődő időzítés közül, vagy irányítsa a fényeket a mellékelt távirányítóval, melyhez CR2025 elem is tartozik. Az IP44-es hálózati adapter garantálja a megbízható kültéri használatot.
Ne habozzon, tegye emlékezetessé az ünnepeket a LC 768/WW LED-es cluster függönyével, és varázsolja el a környezetét!</t>
        </is>
      </c>
    </row>
    <row r="2314">
      <c r="A2314" s="3" t="inlineStr">
        <is>
          <t>MLF 300/WW</t>
        </is>
      </c>
      <c r="B2314" s="2" t="inlineStr">
        <is>
          <t>Home MLF 300/WW micro LED-es cluster fényfüggöny, 3x0,5 m / 300 db melegfehér micro LED, 8 fényprogram, távirányító, hálózati adapter, kül- és beltéri kivitel</t>
        </is>
      </c>
      <c r="C2314" s="1" t="n">
        <v>13290.0</v>
      </c>
      <c r="D2314" s="7" t="n">
        <f>HYPERLINK("https://www.somogyi.hu/product/home-mlf-300-ww-micro-led-es-cluster-fenyfuggony-3x0-5-m-300-db-melegfeher-micro-led-8-fenyprogram-taviranyito-halozati-adapter-kul-es-belteri-kivitel-mlf-300-ww-16532","https://www.somogyi.hu/product/home-mlf-300-ww-micro-led-es-cluster-fenyfuggony-3x0-5-m-300-db-melegfeher-micro-led-8-fenyprogram-taviranyito-halozati-adapter-kul-es-belteri-kivitel-mlf-300-ww-16532")</f>
        <v>0.0</v>
      </c>
      <c r="E2314" s="7" t="n">
        <f>HYPERLINK("https://www.somogyi.hu/data/img/product_main_images/small/16532.jpg","https://www.somogyi.hu/data/img/product_main_images/small/16532.jpg")</f>
        <v>0.0</v>
      </c>
      <c r="F2314" s="2" t="inlineStr">
        <is>
          <t>5999084945640</t>
        </is>
      </c>
      <c r="G2314" s="4" t="inlineStr">
        <is>
          <t>Ismerje meg a Home MLF 300/WW microLED-es fényfüzért, amely a beltéri és kültéri terek meghitt hangulatának megteremtéséhez kínál tökéletes megoldást. Ez a fényfüzér, 300 melegfehér LED-del ellátva, garantáltan elvarázsolja otthonát vagy kertjét, teremtve ezzel egy meghitt és barátságos atmoszférát.
A fényfüzér ezüst színű vezetéke elegáns megjelenést kölcsönöz, így tökéletes választás lehet karácsonyi dekorációhoz, esküvői rendezvényekhez vagy akár egy romantikus esti hangulathoz. Az 8 különböző funkcióval rendelkező fényfüzér állítható fényerővel bír, lehetővé téve az ideális fényviszonyok beállítását minden alkalomhoz.
A fényfüzér folyamatos üzemmódban vagy ismétlődő időzítéssel is használható, ami nagyobb rugalmasságot biztosít az Ön számára. A mellékelt távirányító, amelyhez CR2025 elem tartozik, még kényelmesebbé teszi a fényfüzér használatát, lehetővé téve a funkciók könnyed távoli irányítását.
Az IP44-es kültéri adapter biztosítja a fényfüzér kültéri használatának biztonságát, így nem kell aggódnia az időjárási viszontagságok miatt. Akár a kertben, teraszon, vagy a nappaliban szeretné használni, a Home MLF 300/WW microLED-es fényfüzér mindig tökéletes választás lesz.
Ne hagyja ki ezt a lehetőséget, hogy varázslatos fényekkel töltse meg környezetét. A Home MLF 300/WW microLED-es fényfüzérrel minden pillanat különleges lesz. Rendelje meg most, és hozza el otthonába a meleg és meghitt fények varázsát!</t>
        </is>
      </c>
    </row>
    <row r="2315">
      <c r="A2315" s="3" t="inlineStr">
        <is>
          <t>MFW 120/WW</t>
        </is>
      </c>
      <c r="B2315" s="2" t="inlineStr">
        <is>
          <t>Home MFW 120/WW tüzijáték dekoráció, 120 db microLED, 60 szál, 8 funkció, ismétlődő időzítés, távirányító, kültéri, beltéri</t>
        </is>
      </c>
      <c r="C2315" s="1" t="n">
        <v>5790.0</v>
      </c>
      <c r="D2315" s="7" t="n">
        <f>HYPERLINK("https://www.somogyi.hu/product/home-mfw-120-ww-tuzijatek-dekoracio-120-db-microled-60-szal-8-funkcio-ismetlodo-idozites-taviranyito-kulteri-belteri-mfw-120-ww-16531","https://www.somogyi.hu/product/home-mfw-120-ww-tuzijatek-dekoracio-120-db-microled-60-szal-8-funkcio-ismetlodo-idozites-taviranyito-kulteri-belteri-mfw-120-ww-16531")</f>
        <v>0.0</v>
      </c>
      <c r="E2315" s="7" t="n">
        <f>HYPERLINK("https://www.somogyi.hu/data/img/product_main_images/small/16531.jpg","https://www.somogyi.hu/data/img/product_main_images/small/16531.jpg")</f>
        <v>0.0</v>
      </c>
      <c r="F2315" s="2" t="inlineStr">
        <is>
          <t>5999084945633</t>
        </is>
      </c>
      <c r="G2315" s="4" t="inlineStr">
        <is>
          <t>Tegye különlegessé az ünnepeket a MFW 120/WW micro-LED tűzijáték dekorációval! 
Ez a lenyűgöző dekoráció minden környezetet csodálatos látvánnyal tölt el, legyen szó kül- vagy beltéri használatról. 
A 120 db melegfehér LED és a szabadon formázható, 17 cm hosszú szálak lehetővé teszik, hogy saját kreatív ötleteit valósítsa meg fényjátékával. 
A 8 funkció és az ismétlődő időzítés gondoskodik az igazán egyedi világítási élményről, míg a távirányítóval egyszerűen vezérelheti a fényerőt és a hangulatot. 
Ne habozzon, tegye még emlékezetesebbé az alkalmakat a MFW 120/WW tűzijáték dekorációval, és varázsolja el mindenkit a fényjáték csodájával!</t>
        </is>
      </c>
    </row>
    <row r="2316">
      <c r="A2316" s="3" t="inlineStr">
        <is>
          <t>KII 50B/M</t>
        </is>
      </c>
      <c r="B2316" s="2" t="inlineStr">
        <is>
          <t>Home KII 50B/M LED-es gömb fényfüzér, 4 m / 50 db színes LED, állófényű, zöld vezeték, hálózati adapter, beltéri kivitel</t>
        </is>
      </c>
      <c r="C2316" s="1" t="n">
        <v>4090.0</v>
      </c>
      <c r="D2316" s="7" t="n">
        <f>HYPERLINK("https://www.somogyi.hu/product/home-kii-50b-m-led-es-gomb-fenyfuzer-4-m-50-db-szines-led-allofenyu-zold-vezetek-halozati-adapter-belteri-kivitel-kii-50b-m-16142","https://www.somogyi.hu/product/home-kii-50b-m-led-es-gomb-fenyfuzer-4-m-50-db-szines-led-allofenyu-zold-vezetek-halozati-adapter-belteri-kivitel-kii-50b-m-16142")</f>
        <v>0.0</v>
      </c>
      <c r="E2316" s="7" t="n">
        <f>HYPERLINK("https://www.somogyi.hu/data/img/product_main_images/small/16142.jpg","https://www.somogyi.hu/data/img/product_main_images/small/16142.jpg")</f>
        <v>0.0</v>
      </c>
      <c r="F2316" s="2" t="inlineStr">
        <is>
          <t>5999084941741</t>
        </is>
      </c>
      <c r="G2316" s="4" t="inlineStr">
        <is>
          <t>Olyan ünnepi beltéri világítási megoldást keres, amely nem csak praktikus, de esztétikailag is lenyűgöző?
A KII 50B/M pontosan ilyen: egy beltéri kivitelű, állófényű fényfüzér, melyben 50 színes LED gyönyörködteti szemét. 
Minden egyes LED-et egy 1,5 cm-es opál gömb dekoráció vesz körül, ami a színeknek finom, fátyolszerű ragyogást kölcsönöz. 
A zöld vezeték diszkréten illeszkedik karácsonyfája környezetébe, míg a beltéri hálózati adapter garantálja a könnyű és biztonságos csatlakoztatást otthonában.
Fedezze fel a KII 50B/M varázslatos világát és tegye otthonát még hangulatosabbá!</t>
        </is>
      </c>
    </row>
    <row r="2317">
      <c r="A2317" s="3" t="inlineStr">
        <is>
          <t>KII 50B/WW</t>
        </is>
      </c>
      <c r="B2317" s="2" t="inlineStr">
        <is>
          <t>Home KII 50B/WW LED-es gömb fényfüzér, 4 m / 50 db melegfehér LED, állófényű, zöld vezeték, hálózati adapter, beltéri kivitel</t>
        </is>
      </c>
      <c r="C2317" s="1" t="n">
        <v>4090.0</v>
      </c>
      <c r="D2317" s="7" t="n">
        <f>HYPERLINK("https://www.somogyi.hu/product/home-kii-50b-ww-led-es-gomb-fenyfuzer-4-m-50-db-melegfeher-led-allofenyu-zold-vezetek-halozati-adapter-belteri-kivitel-kii-50b-ww-16141","https://www.somogyi.hu/product/home-kii-50b-ww-led-es-gomb-fenyfuzer-4-m-50-db-melegfeher-led-allofenyu-zold-vezetek-halozati-adapter-belteri-kivitel-kii-50b-ww-16141")</f>
        <v>0.0</v>
      </c>
      <c r="E2317" s="7" t="n">
        <f>HYPERLINK("https://www.somogyi.hu/data/img/product_main_images/small/16141.jpg","https://www.somogyi.hu/data/img/product_main_images/small/16141.jpg")</f>
        <v>0.0</v>
      </c>
      <c r="F2317" s="2" t="inlineStr">
        <is>
          <t>5999084941734</t>
        </is>
      </c>
      <c r="G2317" s="4" t="inlineStr">
        <is>
          <t>Olyan ünnepi beltéri világítási megoldást keres, amely nem csak praktikus, de esztétikailag is lenyűgöző?
A KII 50B/WW pontosan ilyen: egy beltéri kivitelű, állófényű fényfüzér, melyben 50 melegfehér LED gyönyörködteti szemét. 
Minden egyes LED-et egy 1,5 cm-es opál gömb dekoráció vesz körül, ami a színeknek finom, fátyolszerű ragyogást kölcsönöz. 
A zöld vezeték diszkréten illeszkedik karácsonyfája környezetébe, míg a beltéri hálózati adapter garantálja a könnyű és biztonságos csatlakoztatást otthonában.
Fedezze fel a KII 50B/WW varázslatos világát és tegye otthonát még hangulatosabbá!</t>
        </is>
      </c>
    </row>
    <row r="2318">
      <c r="A2318" s="3" t="inlineStr">
        <is>
          <t>KII 100/P</t>
        </is>
      </c>
      <c r="B2318" s="2" t="inlineStr">
        <is>
          <t>Home KII 100/P LED-es fényfüzér, 8 m / 100 db pink LED, állófényű, zöld vezeték, hálózati adapter, beltéri kivitel</t>
        </is>
      </c>
      <c r="C2318" s="1" t="n">
        <v>4590.0</v>
      </c>
      <c r="D2318" s="7" t="n">
        <f>HYPERLINK("https://www.somogyi.hu/product/home-kii-100-p-led-es-fenyfuzer-8-m-100-db-pink-led-allofenyu-zold-vezetek-halozati-adapter-belteri-kivitel-kii-100-p-16136","https://www.somogyi.hu/product/home-kii-100-p-led-es-fenyfuzer-8-m-100-db-pink-led-allofenyu-zold-vezetek-halozati-adapter-belteri-kivitel-kii-100-p-16136")</f>
        <v>0.0</v>
      </c>
      <c r="E2318" s="7" t="n">
        <f>HYPERLINK("https://www.somogyi.hu/data/img/product_main_images/small/16136.jpg","https://www.somogyi.hu/data/img/product_main_images/small/16136.jpg")</f>
        <v>0.0</v>
      </c>
      <c r="F2318" s="2" t="inlineStr">
        <is>
          <t>5999084941680</t>
        </is>
      </c>
      <c r="G2318" s="4" t="inlineStr">
        <is>
          <t>Meg akarja világítani belső tereit különleges, lenyűgöző módon?
A KII 100/P pontosan erre kínál önnek lehetőséget! Egy kiváló minőségű, beltéri kivitelű világítási megoldás, melynek 100 pink állófényű LED-je ragyogással tölti meg lakását. 
A zöld vezeték jól illeszkedik a karácsonyfa környezetébe, így egy diszkrét és modern vizuális élményt nyújt. 
A beltéri hálózati adapternek köszönhetően, a KII 100/P egyszerűen és biztonságosan csatlakoztatható otthona hálózati aljzataihoz.
Lépjen be egy káprázatosan pink világba a KII 100/P-vel és hozzon létre otthonában egy lenyűgöző atmoszférát!</t>
        </is>
      </c>
    </row>
    <row r="2319">
      <c r="A2319" s="3" t="inlineStr">
        <is>
          <t>KII 100/BL</t>
        </is>
      </c>
      <c r="B2319" s="2" t="inlineStr">
        <is>
          <t>Home KII 100/BL LED-es fényfüzér, 8 m / 100 db kék LED, állófényű, zöld vezeték, hálózati adapter, beltéri kivitel</t>
        </is>
      </c>
      <c r="C2319" s="1" t="n">
        <v>4590.0</v>
      </c>
      <c r="D2319" s="7" t="n">
        <f>HYPERLINK("https://www.somogyi.hu/product/home-kii-100-bl-led-es-fenyfuzer-8-m-100-db-kek-led-allofenyu-zold-vezetek-halozati-adapter-belteri-kivitel-kii-100-bl-16135","https://www.somogyi.hu/product/home-kii-100-bl-led-es-fenyfuzer-8-m-100-db-kek-led-allofenyu-zold-vezetek-halozati-adapter-belteri-kivitel-kii-100-bl-16135")</f>
        <v>0.0</v>
      </c>
      <c r="E2319" s="7" t="n">
        <f>HYPERLINK("https://www.somogyi.hu/data/img/product_main_images/small/16135.jpg","https://www.somogyi.hu/data/img/product_main_images/small/16135.jpg")</f>
        <v>0.0</v>
      </c>
      <c r="F2319" s="2" t="inlineStr">
        <is>
          <t>5999084941673</t>
        </is>
      </c>
      <c r="G2319" s="4" t="inlineStr">
        <is>
          <t>Meg akarja világítani belső tereit különleges, lenyűgöző módon?
A KII 100/BL pontosan erre kínál önnek lehetőséget! Egy kiváló minőségű, beltéri kivitelű világítási megoldás, melynek 100 kék állófényű LED-je ragyogással tölti meg lakását. 
A zöld vezeték jól illeszkedik a karácsonyfa környezetébe, így egy diszkrét és modern vizuális élményt nyújt. 
A beltéri hálózati adapternek köszönhetően, a KII 100/BL egyszerűen és biztonságosan csatlakoztatható otthona hálózati aljzataihoz.
Lépjen be egy káprázatosan kék világba a KII 100/BL-lel és hozzon létre otthonában egy lenyűgöző atmoszférát!</t>
        </is>
      </c>
    </row>
    <row r="2320">
      <c r="A2320" s="3" t="inlineStr">
        <is>
          <t>KII 100/R</t>
        </is>
      </c>
      <c r="B2320" s="2" t="inlineStr">
        <is>
          <t>Home KII 100/R LED-es fényfüzér, 8 m / 100 db piros LED, állófényű, zöld vezeték, hálózati adapter, beltéri kivitel</t>
        </is>
      </c>
      <c r="C2320" s="1" t="n">
        <v>4590.0</v>
      </c>
      <c r="D2320" s="7" t="n">
        <f>HYPERLINK("https://www.somogyi.hu/product/home-kii-100-r-led-es-fenyfuzer-8-m-100-db-piros-led-allofenyu-zold-vezetek-halozati-adapter-belteri-kivitel-kii-100-r-16134","https://www.somogyi.hu/product/home-kii-100-r-led-es-fenyfuzer-8-m-100-db-piros-led-allofenyu-zold-vezetek-halozati-adapter-belteri-kivitel-kii-100-r-16134")</f>
        <v>0.0</v>
      </c>
      <c r="E2320" s="7" t="n">
        <f>HYPERLINK("https://www.somogyi.hu/data/img/product_main_images/small/16134.jpg","https://www.somogyi.hu/data/img/product_main_images/small/16134.jpg")</f>
        <v>0.0</v>
      </c>
      <c r="F2320" s="2" t="inlineStr">
        <is>
          <t>5999084941666</t>
        </is>
      </c>
      <c r="G2320" s="4" t="inlineStr">
        <is>
          <t>Meg akarja világítani belső tereit különleges, lenyűgöző módon?
A KII 100/R pontosan erre kínál önnek lehetőséget! Egy kiváló minőségű, beltéri kivitelű világítási megoldás, melynek 100 piros állófényű LED-je ragyogással tölti meg lakását. 
A zöld vezeték jól illeszkedik a karácsonyfa környezetébe, így egy diszkrét és modern vizuális élményt nyújt. 
A beltéri hálózati adapternek köszönhetően, a KII 100/R egyszerűen és biztonságosan csatlakoztatható otthona hálózati aljzataihoz.
Lépjen be egy káprázatosan piros világba a KII 100/R-rel és hozzon létre otthonában egy lenyűgöző atmoszférát!</t>
        </is>
      </c>
    </row>
    <row r="2321">
      <c r="A2321" s="3" t="inlineStr">
        <is>
          <t>KII 50/BL</t>
        </is>
      </c>
      <c r="B2321" s="2" t="inlineStr">
        <is>
          <t>Home KII 50/BL LED-es fényfüzér, 4 m / 50 db kék LED, állófényű, zöld vezeték, hálózati adapter, beltéri kivitel</t>
        </is>
      </c>
      <c r="C2321" s="1" t="n">
        <v>3090.0</v>
      </c>
      <c r="D2321" s="7" t="n">
        <f>HYPERLINK("https://www.somogyi.hu/product/home-kii-50-bl-led-es-fenyfuzer-4-m-50-db-kek-led-allofenyu-zold-vezetek-halozati-adapter-belteri-kivitel-kii-50-bl-16128","https://www.somogyi.hu/product/home-kii-50-bl-led-es-fenyfuzer-4-m-50-db-kek-led-allofenyu-zold-vezetek-halozati-adapter-belteri-kivitel-kii-50-bl-16128")</f>
        <v>0.0</v>
      </c>
      <c r="E2321" s="7" t="n">
        <f>HYPERLINK("https://www.somogyi.hu/data/img/product_main_images/small/16128.jpg","https://www.somogyi.hu/data/img/product_main_images/small/16128.jpg")</f>
        <v>0.0</v>
      </c>
      <c r="F2321" s="2" t="inlineStr">
        <is>
          <t>5999084941604</t>
        </is>
      </c>
      <c r="G2321" s="4" t="inlineStr">
        <is>
          <t>Meg akarja világítani belső tereit különleges, lenyűgöző módon?
A KII 50/BL pontosan erre kínál Önnek lehetőséget! Egy kiváló minőségű, beltéri kivitelű világítási megoldás, melynek 50 kék állófényű LED-je ragyogással tölti meg lakását. 
A zöld vezeték jól illeszkedik a karácsonyfa környezetébe, így egy diszkrét és modern vizuális élményt nyújt. 
A beltéri hálózati adapternek köszönhetően, a KII 50/BL egyszerűen és biztonságosan csatlakoztatható otthona hálózati aljzataihoz.
Lépjen be egy káprázatosan kék világba a KII 50/BL-lel és hozzon létre otthonában egy lenyűgöző atmoszférát!</t>
        </is>
      </c>
    </row>
    <row r="2322">
      <c r="A2322" s="3" t="inlineStr">
        <is>
          <t>KII 50/R</t>
        </is>
      </c>
      <c r="B2322" s="2" t="inlineStr">
        <is>
          <t>Home KII 50/R LED-es fényfüzér, 4 m / 50 db piros LED, állófényű, zöld vezeték, hálózati adapter, beltéri kivitel</t>
        </is>
      </c>
      <c r="C2322" s="1" t="n">
        <v>3090.0</v>
      </c>
      <c r="D2322" s="7" t="n">
        <f>HYPERLINK("https://www.somogyi.hu/product/home-kii-50-r-led-es-fenyfuzer-4-m-50-db-piros-led-allofenyu-zold-vezetek-halozati-adapter-belteri-kivitel-kii-50-r-16127","https://www.somogyi.hu/product/home-kii-50-r-led-es-fenyfuzer-4-m-50-db-piros-led-allofenyu-zold-vezetek-halozati-adapter-belteri-kivitel-kii-50-r-16127")</f>
        <v>0.0</v>
      </c>
      <c r="E2322" s="7" t="n">
        <f>HYPERLINK("https://www.somogyi.hu/data/img/product_main_images/small/16127.jpg","https://www.somogyi.hu/data/img/product_main_images/small/16127.jpg")</f>
        <v>0.0</v>
      </c>
      <c r="F2322" s="2" t="inlineStr">
        <is>
          <t>5999084941598</t>
        </is>
      </c>
      <c r="G2322" s="4" t="inlineStr">
        <is>
          <t>Meg akarja világítani belső tereit különleges, lenyűgöző módon?
A KII 50/R pontosan erre kínál önnek lehetőséget! Egy kiváló minőségű, beltéri kivitelű világítási megoldás, melynek 50 piros állófényű LED-je ragyogással tölti meg lakását. 
A zöld vezeték jól illeszkedik a karácsonyfa környezetébe, így egy diszkrét és modern vizuális élményt nyújt. 
A beltéri hálózati adapternek köszönhetően, a KII 50/R egyszerűen és biztonságosan csatlakoztatható otthona hálózati aljzataihoz.
Lépjen be egy káprázatosan piros világba a KII 50/R-rel és hozzon létre otthonában egy lenyűgöző atmoszférát!</t>
        </is>
      </c>
    </row>
    <row r="2323">
      <c r="A2323" s="3" t="inlineStr">
        <is>
          <t>KII 50/WW</t>
        </is>
      </c>
      <c r="B2323" s="2" t="inlineStr">
        <is>
          <t>Home KII 50/WW LED-es fényfüzér, 4 m / 50 db melegfehér LED, állófényű, zöld vezeték, hálózati adapter, beltéri kivitel</t>
        </is>
      </c>
      <c r="C2323" s="1" t="n">
        <v>3090.0</v>
      </c>
      <c r="D2323" s="7" t="n">
        <f>HYPERLINK("https://www.somogyi.hu/product/home-kii-50-ww-led-es-fenyfuzer-4-m-50-db-melegfeher-led-allofenyu-zold-vezetek-halozati-adapter-belteri-kivitel-kii-50-ww-16125","https://www.somogyi.hu/product/home-kii-50-ww-led-es-fenyfuzer-4-m-50-db-melegfeher-led-allofenyu-zold-vezetek-halozati-adapter-belteri-kivitel-kii-50-ww-16125")</f>
        <v>0.0</v>
      </c>
      <c r="E2323" s="7" t="n">
        <f>HYPERLINK("https://www.somogyi.hu/data/img/product_main_images/small/16125.jpg","https://www.somogyi.hu/data/img/product_main_images/small/16125.jpg")</f>
        <v>0.0</v>
      </c>
      <c r="F2323" s="2" t="inlineStr">
        <is>
          <t>5999084941574</t>
        </is>
      </c>
      <c r="G2323" s="4" t="inlineStr">
        <is>
          <t>Meg akarja világítani belső tereit különleges, lenyűgöző módon?
A KII 50/WW pontosan erre kínál önnek lehetőséget! Egy kiváló minőségű, beltéri kivitelű világítási megoldás, melynek 50 melegfehér állófényű LED-je ragyogással tölti meg lakását. 
A zöld vezeték jól illeszkedik a karácsonyfa környezetébe, így egy diszkrét és modern vizuális élményt nyújt. 
A beltéri hálózati adapternek köszönhetően, a KII 50/WW egyszerűen és biztonságosan csatlakoztatható otthona hálózati aljzataihoz.
Lépjen be egy káprázatosan melegfehér világba a KII 50/WW-vel és hozzon létre otthonában egy lenyűgöző atmoszférát!</t>
        </is>
      </c>
    </row>
    <row r="2324">
      <c r="A2324" s="3" t="inlineStr">
        <is>
          <t>KII 50/WH</t>
        </is>
      </c>
      <c r="B2324" s="2" t="inlineStr">
        <is>
          <t>Home KII 50/WH LED-es fényfüzér, 4 m / 50 db hidegfehér LED, állófényű, zöld vezeték, hálózati adapter, beltéri kivitel</t>
        </is>
      </c>
      <c r="C2324" s="1" t="n">
        <v>3090.0</v>
      </c>
      <c r="D2324" s="7" t="n">
        <f>HYPERLINK("https://www.somogyi.hu/product/home-kii-50-wh-led-es-fenyfuzer-4-m-50-db-hidegfeher-led-allofenyu-zold-vezetek-halozati-adapter-belteri-kivitel-kii-50-wh-16124","https://www.somogyi.hu/product/home-kii-50-wh-led-es-fenyfuzer-4-m-50-db-hidegfeher-led-allofenyu-zold-vezetek-halozati-adapter-belteri-kivitel-kii-50-wh-16124")</f>
        <v>0.0</v>
      </c>
      <c r="E2324" s="7" t="n">
        <f>HYPERLINK("https://www.somogyi.hu/data/img/product_main_images/small/16124.jpg","https://www.somogyi.hu/data/img/product_main_images/small/16124.jpg")</f>
        <v>0.0</v>
      </c>
      <c r="F2324" s="2" t="inlineStr">
        <is>
          <t>5999084941567</t>
        </is>
      </c>
      <c r="G2324" s="4" t="inlineStr">
        <is>
          <t>Meg akarja világítani belső tereit különleges, lenyűgöző módon?
A KII 50/WH pontosan erre kínál önnek lehetőséget! Egy kiváló minőségű, beltéri kivitelű világítási megoldás, melynek 50 hidegfehér állófényű LED-je ragyogással tölti meg lakását. 
A zöld vezeték jól illeszkedik a karácsonyfa környezetébe, így egy diszkrét és modern vizuális élményt nyújt. 
A beltéri hálózati adapternek köszönhetően, a KII 50/WH egyszerűen és biztonságosan csatlakoztatható otthona hálózati aljzataihoz.
Lépjen be egy káprázatosan hidegfehér világba a KII 50/WH-val és hozzon létre otthonában egy lenyűgöző atmoszférát!</t>
        </is>
      </c>
    </row>
    <row r="2325">
      <c r="A2325" s="3" t="inlineStr">
        <is>
          <t>LED 202R/WW/M</t>
        </is>
      </c>
      <c r="B2325" s="2" t="inlineStr">
        <is>
          <t>Home LED 202R/WW/M LED-es DUAL COLOR fényfüzér, 14 m / 200 db melegfehér és színes LED, távirányító, 2 fényprogram, hálózati adapter, kül- és beltéri kivitel</t>
        </is>
      </c>
      <c r="C2325" s="1" t="n">
        <v>13290.0</v>
      </c>
      <c r="D2325" s="7" t="n">
        <f>HYPERLINK("https://www.somogyi.hu/product/home-led-202r-ww-m-led-es-dual-color-fenyfuzer-14-m-200-db-melegfeher-es-szines-led-taviranyito-2-fenyprogram-halozati-adapter-kul-es-belteri-kivitel-led-202r-ww-m-16003","https://www.somogyi.hu/product/home-led-202r-ww-m-led-es-dual-color-fenyfuzer-14-m-200-db-melegfeher-es-szines-led-taviranyito-2-fenyprogram-halozati-adapter-kul-es-belteri-kivitel-led-202r-ww-m-16003")</f>
        <v>0.0</v>
      </c>
      <c r="E2325" s="7" t="n">
        <f>HYPERLINK("https://www.somogyi.hu/data/img/product_main_images/small/16003.jpg","https://www.somogyi.hu/data/img/product_main_images/small/16003.jpg")</f>
        <v>0.0</v>
      </c>
      <c r="F2325" s="2" t="inlineStr">
        <is>
          <t>5999084940355</t>
        </is>
      </c>
      <c r="G2325" s="4" t="inlineStr">
        <is>
          <t>Hogyan teheti otthonát ünnepi ragyogásba, miközben szabadon választhatja meg a fények színét? A Home LED 202R/WW/M LED-es DUAL COLOR fényfüzér ideális megoldás, ha egy olyan dekorációt keres, amely egyszerre kínálja a klasszikus melegfehér és a vidám, színes fények varázsát. 
Ez a 14 méter hosszú fényfüzér 200 db LED-et tartalmaz, amelyek között egyszerűen válthat a kétféle színvariáció között: melegfehér állófényű vagy színes állófényű módot is választhat, attól függően, hogy milyen hangulatot szeretne teremteni. Ideális választás azoknak, akik nem szeretnének kompromisszumot kötni a karácsonyi dekoráció stílusában. A fényfüzér kül- és beltéri használatra egyaránt alkalmas, így otthona bármely részét – legyen az a nappali, a kert, az erkély vagy a terasz – egyszerűen díszítheti vele. A fekete vezeték diszkréten elrejtőzik a háttérben, így a figyelem teljesen a fények ragyogására irányul. A 14 méteres hosszúságával és 3 méteres tápvezetékével könnyen felhelyezhető akár nagyobb területekre is.
A fényfüzér távirányítóval vezérelhető, így kényelmesen irányíthatja a fényeket anélkül, hogy a kapcsolóhoz kellene mennie. A távirányítóhoz tartozó CR2025 gombelem már a csomag része, így azonnal használatba veheti. Emellett a 6 órás bekapcsolási és 18 órás kikapcsolási időzítő biztosítja, hogy a fények automatikusan felkapcsolódjanak, majd kialudjanak, ezzel nemcsak energiát spórolva, hanem megkönnyítve a használatot is. A tartozék IP44-es kültéri hálózati adapter gondoskodik arról, hogy a fényfüzér az időjárás viszontagságaival szemben is védve legyen, így bátran használhatja kültéren esőben, hóban is.
Ne hagyja ki ezt a sokoldalú, kettős színű fényfüzért! Rendelje meg a Home LED 202R/WW/M LED-es DUAL COLOR fényfüzért, és válassza a tökéletes ünnepi világítást otthonába, amely minden alkalommal más hangulatot sugároz!</t>
        </is>
      </c>
    </row>
    <row r="2326">
      <c r="A2326" s="3" t="inlineStr">
        <is>
          <t>LED 205/WW/M</t>
        </is>
      </c>
      <c r="B2326" s="2" t="inlineStr">
        <is>
          <t>Home LED 205/WW/M LED-es DUAL COLOR fényfüzér, 14 m / 200 db melegfehér és színes LED, zöld vezeték, 5 fényprogram, hálózati adapter, kül- és beltéri kivitel</t>
        </is>
      </c>
      <c r="C2326" s="1" t="n">
        <v>11290.0</v>
      </c>
      <c r="D2326" s="7" t="n">
        <f>HYPERLINK("https://www.somogyi.hu/product/home-led-205-ww-m-led-es-dual-color-fenyfuzer-14-m-200-db-melegfeher-es-szines-led-zold-vezetek-5-fenyprogram-halozati-adapter-kul-es-belteri-kivitel-led-205-ww-m-15611","https://www.somogyi.hu/product/home-led-205-ww-m-led-es-dual-color-fenyfuzer-14-m-200-db-melegfeher-es-szines-led-zold-vezetek-5-fenyprogram-halozati-adapter-kul-es-belteri-kivitel-led-205-ww-m-15611")</f>
        <v>0.0</v>
      </c>
      <c r="E2326" s="7" t="n">
        <f>HYPERLINK("https://www.somogyi.hu/data/img/product_main_images/small/15611.jpg","https://www.somogyi.hu/data/img/product_main_images/small/15611.jpg")</f>
        <v>0.0</v>
      </c>
      <c r="F2326" s="2" t="inlineStr">
        <is>
          <t>5999084936457</t>
        </is>
      </c>
      <c r="G2326" s="4" t="inlineStr">
        <is>
          <t>Szeretné, ha ünnepi dekorációja mindenkit elvarázsolna a különleges fényekkel? A Home LED 205/WW/M LED-es DUAL COLOR fényfüzér tökéletes választás, hogy otthona kültéren és beltéren egyaránt ragyogjon. 
Ez a fényfüzér 200 db LED-del rendelkezik, amelyek melegfehér és színes fényeket biztosítanak, így mindig a hangulatnak megfelelő világítást választhat.
A fényfüzér öt különböző funkcióval van ellátva: színes állófényű, színes villogó, melegfehér állófényű, melegfehér villogó, valamint felváltva színes/melegfehér villogó. Ezek a beállítások lehetővé teszik, hogy különböző fényhatásokat érjen el, legyen szó egy meghitt vacsoráról vagy egy vidám ünnepi partyról.
A 14 méter hosszú fényfüzér elegendő ahhoz, hogy nagyobb területeket is díszíthessen vele, a 3 méteres tápvezeték pedig biztosítja a könnyű csatlakozást. A tápellátást a kültéri IP44-es hálózati adapter biztosítja, amely garantálja a biztonságos használatot akár esős időben is.
Hozzon ünnepi fényeket otthonába a Home LED 205/WW/M LED-es DUAL COLOR fényfüzérrel! Rendelje meg most, és varázsolja el vendégeit a káprázatos fényhatásokkal!</t>
        </is>
      </c>
    </row>
    <row r="2327">
      <c r="A2327" s="3" t="inlineStr">
        <is>
          <t>LED 105/WW/M</t>
        </is>
      </c>
      <c r="B2327" s="2" t="inlineStr">
        <is>
          <t>Home LED 105/WW/M LED-es DUAL COLOR fényfüzér, 7 m / 100 db melegfehér és színes LED, fekete vezeték, 5 fényprogram, hálózati adapter, kül- és beltéri kivitel</t>
        </is>
      </c>
      <c r="C2327" s="1" t="n">
        <v>8390.0</v>
      </c>
      <c r="D2327" s="7" t="n">
        <f>HYPERLINK("https://www.somogyi.hu/product/home-led-105-ww-m-led-es-dual-color-fenyfuzer-7-m-100-db-melegfeher-es-szines-led-fekete-vezetek-5-fenyprogram-halozati-adapter-kul-es-belteri-kivitel-led-105-ww-m-15610","https://www.somogyi.hu/product/home-led-105-ww-m-led-es-dual-color-fenyfuzer-7-m-100-db-melegfeher-es-szines-led-fekete-vezetek-5-fenyprogram-halozati-adapter-kul-es-belteri-kivitel-led-105-ww-m-15610")</f>
        <v>0.0</v>
      </c>
      <c r="E2327" s="7" t="n">
        <f>HYPERLINK("https://www.somogyi.hu/data/img/product_main_images/small/15610.jpg","https://www.somogyi.hu/data/img/product_main_images/small/15610.jpg")</f>
        <v>0.0</v>
      </c>
      <c r="F2327" s="2" t="inlineStr">
        <is>
          <t>5999084936440</t>
        </is>
      </c>
      <c r="G2327" s="4" t="inlineStr">
        <is>
          <t>Egy sokoldalú fényfüzért keres, amely bármilyen ünnepi dekorációt tökéletessé varázsol? A Home LED 105/WW/M LED-es DUAL COLOR fényfüzér ideális választás kültéri és beltéri használatra, hogy varázslatos hangulatot teremtsen otthonában. 
Ez a fényfüzér 100 db LED-et tartalmaz, amelyek melegfehér és színes fényekkel egyaránt ragyognak. A DUAL COLOR technológia lehetővé teszi, hogy különböző fényhatások közül válasszon, így bármilyen dekorációhoz alkalmazkodik. A fényfüzér öt funkcióval rendelkezik: színes állófényű, színes villogó, melegfehér állófényű, melegfehér villogó, és felváltva színes/melegfehér villogó. Ezek a beállítások különböző hangulatokat és fényhatásokat biztosítanak, hogy mindig a megfelelő légkört teremthesse meg.
A 7 méter hosszú fényfüzér és a 3 méteres tápvezeték biztosítja a rugalmasságot és a könnyű elhelyezést, míg a kültéri IP44-es hálózati adapter garantálja a biztonságos használatot akár esős időben is. A melegfehér és színes fények kombinációja tökéletes választás az ünnepi dekorációhoz, legyen szó karácsonyról, születésnapokról, vagy bármilyen különleges alkalomról.
Hozzon színt és ragyogást otthonába a Home LED 105/WW/M LED-es DUAL COLOR fényfüzérrel! Rendelje meg most, és élvezze a különleges fényhatásokat minden nap!</t>
        </is>
      </c>
    </row>
    <row r="2328">
      <c r="A2328" s="3" t="inlineStr">
        <is>
          <t>KKL 1000C/WW</t>
        </is>
      </c>
      <c r="B2328" s="2" t="inlineStr">
        <is>
          <t>Home KKL 1000C/WW LED-es fényfüzér, 70 m / 1000 db melegfehér LED, állófényű, zöld vezeték, hálózati adapter, kül- és beltéri kivitel</t>
        </is>
      </c>
      <c r="C2328" s="1" t="n">
        <v>26190.0</v>
      </c>
      <c r="D2328" s="7" t="n">
        <f>HYPERLINK("https://www.somogyi.hu/product/home-kkl-1000c-ww-led-es-fenyfuzer-70-m-1000-db-melegfeher-led-allofenyu-zold-vezetek-halozati-adapter-kul-es-belteri-kivitel-kkl-1000c-ww-15581","https://www.somogyi.hu/product/home-kkl-1000c-ww-led-es-fenyfuzer-70-m-1000-db-melegfeher-led-allofenyu-zold-vezetek-halozati-adapter-kul-es-belteri-kivitel-kkl-1000c-ww-15581")</f>
        <v>0.0</v>
      </c>
      <c r="E2328" s="7" t="n">
        <f>HYPERLINK("https://www.somogyi.hu/data/img/product_main_images/small/15581.jpg","https://www.somogyi.hu/data/img/product_main_images/small/15581.jpg")</f>
        <v>0.0</v>
      </c>
      <c r="F2328" s="2" t="inlineStr">
        <is>
          <t>5999084936150</t>
        </is>
      </c>
      <c r="G2328" s="4" t="inlineStr">
        <is>
          <t>Sokoldalú fényforrást keres, ami bevilágíthatja otthona minden szegletét? A KKL 1000C/WW fényfüzér a tökéletes választás!
Legyen szó kerti partiról vagy otthoni meghitt estékről, ez a termék mind kinti, mind benti használatra ideális. 
Az 1000 db melegfehér, állófényű LED folyamatosan ragyog, emelve az adott helyiség vagy kert hangulatát. 
A zöld vezeték diszkréten illeszkedik a karácsonyfa környezetébe, míg a kültéri IP44-es hálózati adapter biztosítja a megbízható tápellátást.
Varázsoljon mesebeli hangulatot a KKL 1000C/WW fényfüzérrel!</t>
        </is>
      </c>
    </row>
    <row r="2329">
      <c r="A2329" s="3" t="inlineStr">
        <is>
          <t>KKL 1000C/WH</t>
        </is>
      </c>
      <c r="B2329" s="2" t="inlineStr">
        <is>
          <t>Home KKL 1000C/WH LED-es fényfüzér, 70 m / 1000 db hidegfehér LED, állófényű, zöld vezeték, hálózati adapter, kül- és beltéri kivitel</t>
        </is>
      </c>
      <c r="C2329" s="1" t="n">
        <v>26190.0</v>
      </c>
      <c r="D2329" s="7" t="n">
        <f>HYPERLINK("https://www.somogyi.hu/product/home-kkl-1000c-wh-led-es-fenyfuzer-70-m-1000-db-hidegfeher-led-allofenyu-zold-vezetek-halozati-adapter-kul-es-belteri-kivitel-kkl-1000c-wh-15580","https://www.somogyi.hu/product/home-kkl-1000c-wh-led-es-fenyfuzer-70-m-1000-db-hidegfeher-led-allofenyu-zold-vezetek-halozati-adapter-kul-es-belteri-kivitel-kkl-1000c-wh-15580")</f>
        <v>0.0</v>
      </c>
      <c r="E2329" s="7" t="n">
        <f>HYPERLINK("https://www.somogyi.hu/data/img/product_main_images/small/15580.jpg","https://www.somogyi.hu/data/img/product_main_images/small/15580.jpg")</f>
        <v>0.0</v>
      </c>
      <c r="F2329" s="2" t="inlineStr">
        <is>
          <t>5999084936143</t>
        </is>
      </c>
      <c r="G2329" s="4" t="inlineStr">
        <is>
          <t>Sokoldalú fényforrást keres, ami bevilágíthatja otthona minden szegletét? A KKL 1000C/WH fényfüzér a tökéletes választás!
Legyen szó kerti partiról vagy otthoni meghitt estékről, ez a termék mind kinti, mind benti használatra ideális. 
Az 1000 db hidegfehér, állófényű LED folyamatosan ragyog, emelve az adott helyiség vagy kert hangulatát. 
A zöld vezeték diszkréten illeszkedik a karácsonyfa környezetébe, míg a kültéri IP44-es hálózati adapter biztosítja a megbízható tápellátást.
Varázsoljon mesebeli hangulatot a KKL 1000C/WH fényfüzérrel!</t>
        </is>
      </c>
    </row>
    <row r="2330">
      <c r="A2330" s="3" t="inlineStr">
        <is>
          <t>LED 208C/WW</t>
        </is>
      </c>
      <c r="B2330" s="2" t="inlineStr">
        <is>
          <t>Home LED 208C/WW LED-es fényfüzér, 14 m / 200 db melegfehér LED, 8 fényprogram, zöld vezeték, hálózati adapter, kül- és beltéri kivitel</t>
        </is>
      </c>
      <c r="C2330" s="1" t="n">
        <v>9490.0</v>
      </c>
      <c r="D2330" s="7" t="n">
        <f>HYPERLINK("https://www.somogyi.hu/product/home-led-208c-ww-led-es-fenyfuzer-14-m-200-db-melegfeher-led-8-fenyprogram-zold-vezetek-halozati-adapter-kul-es-belteri-kivitel-led-208c-ww-15483","https://www.somogyi.hu/product/home-led-208c-ww-led-es-fenyfuzer-14-m-200-db-melegfeher-led-8-fenyprogram-zold-vezetek-halozati-adapter-kul-es-belteri-kivitel-led-208c-ww-15483")</f>
        <v>0.0</v>
      </c>
      <c r="E2330" s="7" t="n">
        <f>HYPERLINK("https://www.somogyi.hu/data/img/product_main_images/small/15483.jpg","https://www.somogyi.hu/data/img/product_main_images/small/15483.jpg")</f>
        <v>0.0</v>
      </c>
      <c r="F2330" s="2" t="inlineStr">
        <is>
          <t>5999084935177</t>
        </is>
      </c>
      <c r="G2330" s="4" t="inlineStr">
        <is>
          <t>Szeretne meghitt hangulatot teremteni otthonában egyedi fényekkel? A LED 208C/WW fényfüzér kiváló választás erre a célra!
Kivitelezése lehetővé teszi, hogy akár a kertben, akár nappalijában ragyoghasson. 
A füzér 8 különböző programot kínál, így minden napra választhat egy új fényjátékot, a memória funkció pedig emlékszik az Ön kedvenc beállítására. 
A zöld vezeték diszkréten simul a karácsonyfa környezetébe, így csak a 200 db melegfehér LED ragyogása érvényesül. A kültéri IP44-es hálózati adapter pedig gondoskodik az állandó és biztonságos működésről.
Hozza közelebb a csillogó estéket otthonába a LED 208C/WW fényfüzérrel!</t>
        </is>
      </c>
    </row>
    <row r="2331">
      <c r="A2331" s="3" t="inlineStr">
        <is>
          <t>LED 108C/WW</t>
        </is>
      </c>
      <c r="B2331" s="2" t="inlineStr">
        <is>
          <t>Home LED 108C/WW LED-es fényfüzér, 7 m / 100 db melegfehér LED, 8 fényprogram, zöld vezeték, hálózati adapter, kül- és beltéri kivitel</t>
        </is>
      </c>
      <c r="C2331" s="1" t="n">
        <v>5790.0</v>
      </c>
      <c r="D2331" s="7" t="n">
        <f>HYPERLINK("https://www.somogyi.hu/product/home-led-108c-ww-led-es-fenyfuzer-7-m-100-db-melegfeher-led-8-fenyprogram-zold-vezetek-halozati-adapter-kul-es-belteri-kivitel-led-108c-ww-15480","https://www.somogyi.hu/product/home-led-108c-ww-led-es-fenyfuzer-7-m-100-db-melegfeher-led-8-fenyprogram-zold-vezetek-halozati-adapter-kul-es-belteri-kivitel-led-108c-ww-15480")</f>
        <v>0.0</v>
      </c>
      <c r="E2331" s="7" t="n">
        <f>HYPERLINK("https://www.somogyi.hu/data/img/product_main_images/small/15480.jpg","https://www.somogyi.hu/data/img/product_main_images/small/15480.jpg")</f>
        <v>0.0</v>
      </c>
      <c r="F2331" s="2" t="inlineStr">
        <is>
          <t>5999084935146</t>
        </is>
      </c>
      <c r="G2331" s="4" t="inlineStr">
        <is>
          <t>Szeretne meghitt hangulatot teremteni otthonában egyedi fényekkel? A LED 108C/WW fényfüzér kiváló választás erre a célra!
Kivitelezése lehetővé teszi, hogy akár a kertben, akár nappalijában ragyoghasson. 
A füzér 8 különböző programot kínál, így minden napra választhat egy új fényjátékot, a memória funkció pedig emlékszik az Ön kedvenc beállítására. 
A zöld vezeték diszkréten simul a karácsonyfa környezetébe, így csak a 100 db melegfehér LED ragyogása érvényesül. A kültéri IP44-es hálózati adapter pedig gondoskodik az állandó és biztonságos működésről.
Hozza közelebb a csillogó estéket otthonába a LED 108C/WW fényfüzérrel!</t>
        </is>
      </c>
    </row>
    <row r="2332">
      <c r="A2332" s="3" t="inlineStr">
        <is>
          <t>LED 108C/WH</t>
        </is>
      </c>
      <c r="B2332" s="2" t="inlineStr">
        <is>
          <t>Home LED 108C/WH LED-es fényfüzér, 7 m / 100 db hidegfehér LED, 8 fényprogram, zöld vezeték, hálózati adapter, kül- és beltéri kivitel</t>
        </is>
      </c>
      <c r="C2332" s="1" t="n">
        <v>5790.0</v>
      </c>
      <c r="D2332" s="7" t="n">
        <f>HYPERLINK("https://www.somogyi.hu/product/home-led-108c-wh-led-es-fenyfuzer-7-m-100-db-hidegfeher-led-8-fenyprogram-zold-vezetek-halozati-adapter-kul-es-belteri-kivitel-led-108c-wh-15479","https://www.somogyi.hu/product/home-led-108c-wh-led-es-fenyfuzer-7-m-100-db-hidegfeher-led-8-fenyprogram-zold-vezetek-halozati-adapter-kul-es-belteri-kivitel-led-108c-wh-15479")</f>
        <v>0.0</v>
      </c>
      <c r="E2332" s="7" t="n">
        <f>HYPERLINK("https://www.somogyi.hu/data/img/product_main_images/small/15479.jpg","https://www.somogyi.hu/data/img/product_main_images/small/15479.jpg")</f>
        <v>0.0</v>
      </c>
      <c r="F2332" s="2" t="inlineStr">
        <is>
          <t>5999084935139</t>
        </is>
      </c>
      <c r="G2332" s="4" t="inlineStr">
        <is>
          <t>Szeretne meghitt hangulatot teremteni otthonában egyedi fényekkel? A LED 108C/WH fényfüzér kiváló választás erre a célra!
Kivitelezése lehetővé teszi, hogy akár a kertben, akár nappalijában ragyoghasson. 
A füzér 8 különböző programot kínál, így minden napra választhat egy új fényjátékot, a memória funkció pedig emlékszik az Ön kedvenc beállítására. 
A zöld vezeték diszkréten simul a karácsonyfa környezetébe, így csak a 100 db hidegfehér LED ragyogása érvényesül. A kültéri IP44-es hálózati adapter pedig gondoskodik az állandó és biztonságos működésről.
Hozza közelebb a csillogó estéket otthonába a LED 108C/WH fényfüzérrel!</t>
        </is>
      </c>
    </row>
    <row r="2333">
      <c r="A2333" s="3" t="inlineStr">
        <is>
          <t>ML 80/WH</t>
        </is>
      </c>
      <c r="B2333" s="2" t="inlineStr">
        <is>
          <t>Home ML 80/WH micro LED-es fényfüzér, 7,9 m / 80 db hidegfehér micro LED, állófényű, vékony vezeték, hálózati adapter, kül- és beltéri kivitel</t>
        </is>
      </c>
      <c r="C2333" s="1" t="n">
        <v>3490.0</v>
      </c>
      <c r="D2333" s="7" t="n">
        <f>HYPERLINK("https://www.somogyi.hu/product/home-ml-80-wh-micro-led-es-fenyfuzer-7-9-m-80-db-hidegfeher-micro-led-allofenyu-vekony-vezetek-halozati-adapter-kul-es-belteri-kivitel-ml-80-wh-14720","https://www.somogyi.hu/product/home-ml-80-wh-micro-led-es-fenyfuzer-7-9-m-80-db-hidegfeher-micro-led-allofenyu-vekony-vezetek-halozati-adapter-kul-es-belteri-kivitel-ml-80-wh-14720")</f>
        <v>0.0</v>
      </c>
      <c r="E2333" s="7" t="n">
        <f>HYPERLINK("https://www.somogyi.hu/data/img/product_main_images/small/14720.jpg","https://www.somogyi.hu/data/img/product_main_images/small/14720.jpg")</f>
        <v>0.0</v>
      </c>
      <c r="F2333" s="2" t="inlineStr">
        <is>
          <t>5999084927622</t>
        </is>
      </c>
      <c r="G2333" s="4" t="inlineStr">
        <is>
          <t>Egy tökéletes dekorációs megoldást keres, amely kültéren és beltéren egyaránt hangulatos fényeket biztosít? A Home ML 80/WH micro LED-es fényfüzér nemcsak praktikus, de esztétikus választás is minden alkalomra. 
A 7,9 méter hosszú fényfüzér 80 darab hidegfehér, ragyogó micro LED-et tartalmaz, amelyek gyönyörű, állandó fényükkel feldobják bármelyik helyiséget vagy kertet. A vékony, diszkrét vezeték lehetővé teszi, hogy a fények szinte lebegjenek a térben, ezáltal minden dekorációhoz tökéletesen illeszkedik. A tápellátást biztosító IP44 kültéri hálózati adapter garantálja, hogy a fényfüzér ellenálljon az időjárás viszontagságainak, így bátran használhatja a szabadban is. 
A hidegfehér LED-ek kristálytiszta fényt sugároznak, amely különösen elegáns, modern hangulatot teremt – ideális választás ünnepi alkalmakra, kerti partikhoz, vagy akár mindennapi díszként.
A könnyen kezelhető, megbízható fényfüzér egyszerűen felhelyezhető, a hosszú élettartamú LED-ek pedig energiatakarékosak, így hosszú távon is gazdaságos megoldást nyújtanak.
Dobja fel otthonát vagy kertjét egyedi fényekkel! Rendelje meg most, és varázsoljon különleges hangulatot bármelyik helyiségbe ezzel a sokoldalú, megbízható fényfüzérrel!</t>
        </is>
      </c>
    </row>
    <row r="2334">
      <c r="A2334" s="3" t="inlineStr">
        <is>
          <t>ML 120/WW</t>
        </is>
      </c>
      <c r="B2334" s="2" t="inlineStr">
        <is>
          <t>Home ML 120/WW micro LED-es fényfüzérköteg, 120 db melegfehér micro LED, 6 ágú, vékony, ezüstszínű vezeték, hálózati adapter, kül- és beltéri kivitel</t>
        </is>
      </c>
      <c r="C2334" s="1" t="n">
        <v>3390.0</v>
      </c>
      <c r="D2334" s="7" t="n">
        <f>HYPERLINK("https://www.somogyi.hu/product/home-ml-120-ww-micro-led-es-fenyfuzerkoteg-120-db-melegfeher-micro-led-6-agu-vekony-ezustszinu-vezetek-halozati-adapter-kul-es-belteri-kivitel-ml-120-ww-13453","https://www.somogyi.hu/product/home-ml-120-ww-micro-led-es-fenyfuzerkoteg-120-db-melegfeher-micro-led-6-agu-vekony-ezustszinu-vezetek-halozati-adapter-kul-es-belteri-kivitel-ml-120-ww-13453")</f>
        <v>0.0</v>
      </c>
      <c r="E2334" s="7" t="n">
        <f>HYPERLINK("https://www.somogyi.hu/data/img/product_main_images/small/13453.jpg","https://www.somogyi.hu/data/img/product_main_images/small/13453.jpg")</f>
        <v>0.0</v>
      </c>
      <c r="F2334" s="2" t="inlineStr">
        <is>
          <t>5999084915391</t>
        </is>
      </c>
      <c r="G2334" s="4" t="inlineStr">
        <is>
          <t>Dekorálja otthonát az ML 120/WW micro-LED-es fényfüzérköteggel! Ezzel a kivételes fénysorral könnyedén teremthet meghitt hangulatot beltérben vagy a szabadban.
A 120 fényesen ragyogó, melegfehér színhőmérsékletű pontszerű micro-LED lehetővé teszi, hogy a fények tökéletesen passzoljanak a pillanathoz. Az ezüst színű, vékony vezeték segítségével könnyedén, szűkös helyen is rögzítheti a fénysort. Az ML 120/WW kültéri IP44-es szabványú hálózati adapterrel működik, és a 6 füzér mérete egyenként 1,9 méter.
Ne habozzon, tegyen egy lépést a meghittség felé az ML 120/WW micro-LED-es fénysorral! Fedezze fel a fények varázslatos világát, és teremtsen egyedülálló atmoszférát otthonában!</t>
        </is>
      </c>
    </row>
    <row r="2335">
      <c r="A2335" s="3" t="inlineStr">
        <is>
          <t>KKL 200F/WH</t>
        </is>
      </c>
      <c r="B2335" s="2" t="inlineStr">
        <is>
          <t>Home KKL 200F/WH LED-es sziporkázó fényfüzér, 20 m / 200 db hidegfehéren sziporkázó melegfehér LED, zöld vezeték, hálózati adapter, kül- és beltéri kivitel</t>
        </is>
      </c>
      <c r="C2335" s="1" t="n">
        <v>9790.0</v>
      </c>
      <c r="D2335" s="7" t="n">
        <f>HYPERLINK("https://www.somogyi.hu/product/home-kkl-200f-wh-led-es-sziporkazo-fenyfuzer-20-m-200-db-hidegfeheren-sziporkazo-melegfeher-led-zold-vezetek-halozati-adapter-kul-es-belteri-kivitel-kkl-200f-wh-16005","https://www.somogyi.hu/product/home-kkl-200f-wh-led-es-sziporkazo-fenyfuzer-20-m-200-db-hidegfeheren-sziporkazo-melegfeher-led-zold-vezetek-halozati-adapter-kul-es-belteri-kivitel-kkl-200f-wh-16005")</f>
        <v>0.0</v>
      </c>
      <c r="E2335" s="7" t="n">
        <f>HYPERLINK("https://www.somogyi.hu/data/img/product_main_images/small/16005.jpg","https://www.somogyi.hu/data/img/product_main_images/small/16005.jpg")</f>
        <v>0.0</v>
      </c>
      <c r="F2335" s="2" t="inlineStr">
        <is>
          <t>5999084940379</t>
        </is>
      </c>
      <c r="G2335" s="4" t="inlineStr">
        <is>
          <t>Elgondolkodott már azon, hogyan tehetné otthona hangulatát még varázslatosabbá? A KKL 200F/WH fényfüzérrel megtalálta a tökéletes megoldást!
Ez a különleges fényfüzér kiváló választás mind kintre, mind bentre, melyben a melegfehér, állandóan világító LED-ek között minden tizedik hidegfehér fény fel-fel villanása teszi igazán egyedivé a látványt. 
A zöld vezeték diszkréten olvad bele a karácsonyfa környezetébe, és az 5 méteres tápvezetéknek köszönhetően rugalmasan elhelyezhető.
A megbízható tápellátásról a kültéri IP44-es hálózati adapter gondoskodik.
Változtassa át otthonát vagy kertjét egy igazi mesebeli környezetté a KKL 200F/WH fényfüzérrel!</t>
        </is>
      </c>
    </row>
    <row r="2336">
      <c r="A2336" s="3" t="inlineStr">
        <is>
          <t>ML 30/WW</t>
        </is>
      </c>
      <c r="B2336" s="2" t="inlineStr">
        <is>
          <t>Home ML 30/WW micro LED-es fényfüzér, 2,9 m / 30 db melegfehér micro LED, állófényű, kapcsolható és időzíthető, átlátszó vezeték, elemes, beltéri kivitel</t>
        </is>
      </c>
      <c r="C2336" s="1" t="n">
        <v>919.0</v>
      </c>
      <c r="D2336" s="7" t="n">
        <f>HYPERLINK("https://www.somogyi.hu/product/home-ml-30-ww-micro-led-es-fenyfuzer-2-9-m-30-db-melegfeher-micro-led-allofenyu-kapcsolhato-es-idozitheto-atlatszo-vezetek-elemes-belteri-kivitel-ml-30-ww-17734","https://www.somogyi.hu/product/home-ml-30-ww-micro-led-es-fenyfuzer-2-9-m-30-db-melegfeher-micro-led-allofenyu-kapcsolhato-es-idozitheto-atlatszo-vezetek-elemes-belteri-kivitel-ml-30-ww-17734")</f>
        <v>0.0</v>
      </c>
      <c r="E2336" s="7" t="n">
        <f>HYPERLINK("https://www.somogyi.hu/data/img/product_main_images/small/17734.jpg","https://www.somogyi.hu/data/img/product_main_images/small/17734.jpg")</f>
        <v>0.0</v>
      </c>
      <c r="F2336" s="2" t="inlineStr">
        <is>
          <t>5999084957568</t>
        </is>
      </c>
      <c r="G2336" s="4" t="inlineStr">
        <is>
          <t>Akár egy romantikus vacsora, akár egy pihentető esti lazulás, a megfelelő világítás mindig kulcsfontosságú.
Az ML 30/WW pont ezt kínálja: egy beltéri fényfüzér 30 db melegfehér micro-LED-del, amelyek mindegyike fényesen ragyogó, pontszerű fényt bocsát ki. 
A vékony, átlátszó vezeték lehetővé teszi, hogy a fényfüzért bárhová feltűnésmentesen elhelyezze. 
A be- és kikapcsolóval és az időzített ismétlés funkcióval (6 óra be-, 18 óra kikapcsolt állapot) könnyedén irányíthatja a fényeket, míg a tápellátás 2 x 1,5 V (AA) elemmel működik, amelyek nem tartoznak a csomaghoz.
Varázsoljon meghitt hangulatot otthonában az ML 30/WW fényfüzérrel, és élvezze a melegfehér micro-LED-ek által teremtett csodálatos atmoszférát!</t>
        </is>
      </c>
    </row>
    <row r="2337">
      <c r="A2337" s="3" t="inlineStr">
        <is>
          <t>KII50CUBE</t>
        </is>
      </c>
      <c r="B2337" s="2" t="inlineStr">
        <is>
          <t>Home KII50CUBE dekorációs fényfüzér, hidegfehér, 50 LED, + 50 akril kocka dekoráció, beltéri</t>
        </is>
      </c>
      <c r="C2337" s="1" t="n">
        <v>3990.0</v>
      </c>
      <c r="D2337" s="7" t="n">
        <f>HYPERLINK("https://www.somogyi.hu/product/home-kii50cube-dekoracios-fenyfuzer-hidegfeher-50-led-50-akril-kocka-dekoracio-belteri-kii50cube-18785","https://www.somogyi.hu/product/home-kii50cube-dekoracios-fenyfuzer-hidegfeher-50-led-50-akril-kocka-dekoracio-belteri-kii50cube-18785")</f>
        <v>0.0</v>
      </c>
      <c r="E2337" s="7" t="n">
        <f>HYPERLINK("https://www.somogyi.hu/data/img/product_main_images/small/18785.jpg","https://www.somogyi.hu/data/img/product_main_images/small/18785.jpg")</f>
        <v>0.0</v>
      </c>
      <c r="F2337" s="2" t="inlineStr">
        <is>
          <t>5999084968038</t>
        </is>
      </c>
      <c r="G2337" s="4" t="inlineStr">
        <is>
          <t>Kíváncsi, hogyan varázsolhatja otthonát ünnepi hangulatba? A Home KII50CUBE dekorációs fényfüzér tökéletes választás!
Ez a beltéri kivitelű fényfüzér 50 db víztiszta, műanyag kocka búrával rendelkezik, amelyek mindegyike 15×15 mm méretű. Az ezekben elhelyezkedő hidegfehér állófényű LED-ek ragyogó és tiszta fényt biztosítanak, és csodálatosan megvilágítják a belső tereket. A zöld színű vezeték diszkréten illeszkedik a dekorációhoz.
A füzér teljes hossza 4 méter, ami elegendő ahhoz, hogy bármilyen helyiségben elhelyezze. A 1,5 méteres tápvezetékkel könnyedén csatlakoztathatja a hálózathoz a tartozék 230 V~ hálózati adapter segítségével. Ez a dekorációs fényfüzér nemcsak karácsonykor, hanem bármilyen különleges alkalomra is tökéletes választás, hogy otthonát varázslatossá tegye.
Ne hagyja ki a lehetőséget, hogy otthonát még hangulatosabbá tegye a Home KII50CUBE dekorációs fényfüzérrel!</t>
        </is>
      </c>
    </row>
    <row r="2338">
      <c r="A2338" s="3" t="inlineStr">
        <is>
          <t>ML 250G/WW</t>
        </is>
      </c>
      <c r="B2338" s="2" t="inlineStr">
        <is>
          <t>Home ML 250G/WW micro LED-es fényfüzérköteg, 250 db melegfehér micro LED, 10 ágú, vékony, zöld színű vezeték, hálózati adapter, kül- és beltéri kivitel</t>
        </is>
      </c>
      <c r="C2338" s="1" t="n">
        <v>7190.0</v>
      </c>
      <c r="D2338" s="7" t="n">
        <f>HYPERLINK("https://www.somogyi.hu/product/home-ml-250g-ww-micro-led-es-fenyfuzerkoteg-250-db-melegfeher-micro-led-10-agu-vekony-zold-szinu-vezetek-halozati-adapter-kul-es-belteri-kivitel-ml-250g-ww-16533","https://www.somogyi.hu/product/home-ml-250g-ww-micro-led-es-fenyfuzerkoteg-250-db-melegfeher-micro-led-10-agu-vekony-zold-szinu-vezetek-halozati-adapter-kul-es-belteri-kivitel-ml-250g-ww-16533")</f>
        <v>0.0</v>
      </c>
      <c r="E2338" s="7" t="n">
        <f>HYPERLINK("https://www.somogyi.hu/data/img/product_main_images/small/16533.jpg","https://www.somogyi.hu/data/img/product_main_images/small/16533.jpg")</f>
        <v>0.0</v>
      </c>
      <c r="F2338" s="2" t="inlineStr">
        <is>
          <t>5999084945657</t>
        </is>
      </c>
      <c r="G2338" s="4" t="inlineStr">
        <is>
          <t>Dekorálja otthonát az ML 250G/WW micro-LED-es fényfüzérköteggel! Ezzel a kivételes fénysorral könnyedén teremthet meghitt hangulatot beltérben vagy a szabadban.
A 250 fényesen ragyogó, melegfehér színhőmérsékletű pontszerű micro-LED lehetővé teszi, hogy a fények tökéletesen passzoljanak a pillanathoz. Az ezüst színű, vékony vezeték segítségével könnyedén, szűkös helyen is rögzítheti a fénysort. Az ML 250G/WW kültéri IP44-es szabványú hálózati adapterrel működik, és a füzérek mérete egyenként 2,4 méter.
Ne habozzon, tegyen egy lépést a meghittség felé az ML 250G/WW micro-LED-es fénysorral! Fedezze fel a fények varázslatos világát, és teremtsen egyedülálló atmoszférát otthonában!</t>
        </is>
      </c>
    </row>
    <row r="2339">
      <c r="A2339" s="3" t="inlineStr">
        <is>
          <t>LED205WWWH</t>
        </is>
      </c>
      <c r="B2339" s="2" t="inlineStr">
        <is>
          <t>Home LED205WWWH LED-es dual color fényfüzér, kül- és beltéri kivitel, 200 db melegfehér/hidegfehér LED, 14 m füzérhossz</t>
        </is>
      </c>
      <c r="C2339" s="1" t="n">
        <v>11290.0</v>
      </c>
      <c r="D2339" s="7" t="n">
        <f>HYPERLINK("https://www.somogyi.hu/product/home-led205wwwh-led-es-dual-color-fenyfuzer-kul-es-belteri-kivitel-200-db-melegfeher-hidegfeher-led-14-m-fuzerhossz-led205wwwh-18587","https://www.somogyi.hu/product/home-led205wwwh-led-es-dual-color-fenyfuzer-kul-es-belteri-kivitel-200-db-melegfeher-hidegfeher-led-14-m-fuzerhossz-led205wwwh-18587")</f>
        <v>0.0</v>
      </c>
      <c r="E2339" s="7" t="n">
        <f>HYPERLINK("https://www.somogyi.hu/data/img/product_main_images/small/18587.jpg","https://www.somogyi.hu/data/img/product_main_images/small/18587.jpg")</f>
        <v>0.0</v>
      </c>
      <c r="F2339" s="2" t="inlineStr">
        <is>
          <t>5999084966058</t>
        </is>
      </c>
      <c r="G2339" s="4" t="inlineStr">
        <is>
          <t>A tökéletes fényfüzért keresi, amely bármilyen ünnepi dekorációt még varázslatosabbá tesz? Fedezze fel a Home LED205WWWH LED-es dual color fényfüzért, amely 200 db kétszínű, melegfehér és hidegfehér LED-del világítja meg otthonát vagy kertjét, akár kültéri, akár beltéri használatra. 
Ez a sokoldalú fényfüzér öt különböző funkcióval rendelkezik: melegfehér állófény, melegfehér villogó, hidegfehér állófény, hidegfehér villogó, valamint felváltva melegfehér és hidegfehér villogó. Ezek a funkciók lehetővé teszik, hogy az igényeihez és hangulatához igazítsa a világítást.
A fekete vezeték diszkrét megjelenést biztosít, így a LED-ek ragyogása kerül a figyelem középpontjába. A 14 méteres füzérhossz és a 3 méteres tápvezeték elegendő rugalmasságot biztosít a tökéletes elhelyezéshez, akár a karácsonyfán, akár a ház körül. A LED-ek közötti 7 cm-es távolság egyenletes fényeloszlást garantál.
A tartozék kültéri IP44 hálózati adapter biztosítja a biztonságos és megbízható tápellátást, még a zord időjárási körülmények között is.
Ne hagyja ki ezt a sokoldalú és látványos fényfüzért! Rendelje meg a Home LED205WWWH LED-es dual color fényfüzért még ma, és varázsoljon ünnepi hangulatot otthonába vagy kertjébe!</t>
        </is>
      </c>
    </row>
    <row r="2340">
      <c r="A2340" s="3" t="inlineStr">
        <is>
          <t>ML 200/WH</t>
        </is>
      </c>
      <c r="B2340" s="2" t="inlineStr">
        <is>
          <t>Home ML 200/WH micro LED-es fényfüzérköteg, 200 db hidegfehér micro LED, 10 ágú, vékony, ezüstszínű vezeték, hálózati adapter, kül- és beltéri kivitel</t>
        </is>
      </c>
      <c r="C2340" s="1" t="n">
        <v>5690.0</v>
      </c>
      <c r="D2340" s="7" t="n">
        <f>HYPERLINK("https://www.somogyi.hu/product/home-ml-200-wh-micro-led-es-fenyfuzerkoteg-200-db-hidegfeher-micro-led-10-agu-vekony-ezustszinu-vezetek-halozati-adapter-kul-es-belteri-kivitel-ml-200-wh-14721","https://www.somogyi.hu/product/home-ml-200-wh-micro-led-es-fenyfuzerkoteg-200-db-hidegfeher-micro-led-10-agu-vekony-ezustszinu-vezetek-halozati-adapter-kul-es-belteri-kivitel-ml-200-wh-14721")</f>
        <v>0.0</v>
      </c>
      <c r="E2340" s="7" t="n">
        <f>HYPERLINK("https://www.somogyi.hu/data/img/product_main_images/small/14721.jpg","https://www.somogyi.hu/data/img/product_main_images/small/14721.jpg")</f>
        <v>0.0</v>
      </c>
      <c r="F2340" s="2" t="inlineStr">
        <is>
          <t>5999084927639</t>
        </is>
      </c>
      <c r="G2340" s="4" t="inlineStr">
        <is>
          <t>Dekorálja otthonát az ML 200/WH micro-LED-es fényfüzérköteggel! Ezzel a kivételes fénysorral könnyedén teremthet meghitt hangulatot beltérben vagy a szabadban.
A 200 fényesen ragyogó, hidegfehér színhőmérsékletű pontszerű micro-LED lehetővé teszi, hogy a fények tökéletesen passzoljanak a pillanathoz. Az ezüst színű, vékony vezeték segítségével könnyedén, szűkös helyen is rögzítheti a fénysort. Az ML 200/WH kültéri IP44-es szabványú hálózati adapterrel működik, és a 10 füzér mérete egyenként 1,9 méter.
Ne habozzon, tegyen egy lépést a meghittség felé az ML 200/WH micro-LED-es fénysorral! Fedezze fel a fények varázslatos világát, és teremtsen egyedülálló atmoszférát otthonában!</t>
        </is>
      </c>
    </row>
    <row r="2341">
      <c r="A2341" s="3" t="inlineStr">
        <is>
          <t>LED308DM</t>
        </is>
      </c>
      <c r="B2341" s="2" t="inlineStr">
        <is>
          <t>Home LED308DM DOT LED-es fényfüzér, kül- és beltéri kivitel, 300 db színes LED, 8 világítási mód, 30 m füzérhossz</t>
        </is>
      </c>
      <c r="C2341" s="1" t="n">
        <v>9890.0</v>
      </c>
      <c r="D2341" s="7" t="n">
        <f>HYPERLINK("https://www.somogyi.hu/product/home-led308dm-dot-led-es-fenyfuzer-kul-es-belteri-kivitel-300-db-szines-led-8-vilagitasi-mod-30-m-fuzerhossz-led308dm-18614","https://www.somogyi.hu/product/home-led308dm-dot-led-es-fenyfuzer-kul-es-belteri-kivitel-300-db-szines-led-8-vilagitasi-mod-30-m-fuzerhossz-led308dm-18614")</f>
        <v>0.0</v>
      </c>
      <c r="E2341" s="7" t="n">
        <f>HYPERLINK("https://www.somogyi.hu/data/img/product_main_images/small/18614.jpg","https://www.somogyi.hu/data/img/product_main_images/small/18614.jpg")</f>
        <v>0.0</v>
      </c>
      <c r="F2341" s="2" t="inlineStr">
        <is>
          <t>5999084966324</t>
        </is>
      </c>
      <c r="G2341" s="4" t="inlineStr">
        <is>
          <t>Szeretne egy dekorációt, amely otthonát és kertjét is mesebeli fényárba borítja? A Home LED308DM DOT LED-es fényfüzér ideális választás, ha hangulatos és varázslatos fényeket szeretne varázsolni, akár bel-, akár kültéren. 
A 300 db színes LED kellemes, lágy fényt áraszt, amely tökéletesen illik ünnepi dekorációkhoz vagy akár romantikus esti hangulat megteremtéséhez. A 8 különböző világítási mód közül választhat, hogy mindig az alkalomhoz illő fényhatást biztosítsa. A memória funkció lehetővé teszi, hogy a fényfüzér megjegyezze az utoljára használt beállítást, így Önnek nem kell minden alkalommal újra beállítani. A fényfüzér tartozéka egy mini kábeldob, amely praktikus tárolást biztosít, és egyszerűvé teszi a felhelyezést. 
Az ismétlődő időzítés funkció (6 óra világítás, 18 óra kikapcsolt állapot) lehetőséget ad arra, hogy automatikusan működjön, anélkül, hogy Önnek bármit is tennie kellene. A zöld vezeték természetes megjelenést biztosít, könnyen beleolvad a környezetbe, így a figyelem kizárólag a csodálatos fényekre irányul. A 30 méter hosszú fényfüzér és a 10 cm-es LED-távolság elegendő teret biztosít, hogy nagyobb felületeket, kerítéseket vagy fenyőfákat is feldíszítsen. A kültéri IP44 hálózati adapter pedig garantálja a biztonságos használatot kültéren is, esőben vagy havazásban.
Tegye különlegessé otthonát vagy kertjét a Home LED308DM DOT LED-es fényfüzérrel, és élvezze a varázslatos fényeket minden nap!</t>
        </is>
      </c>
    </row>
    <row r="2342">
      <c r="A2342" s="3" t="inlineStr">
        <is>
          <t>LED305WWWH</t>
        </is>
      </c>
      <c r="B2342" s="2" t="inlineStr">
        <is>
          <t>Home LED305WWWH LED-es dual color fényfüzér, kül- és beltéri kivitel, 300 db melegfehér/hidegfehér LED, 21 m füzérhossz</t>
        </is>
      </c>
      <c r="C2342" s="1" t="n">
        <v>14490.0</v>
      </c>
      <c r="D2342" s="7" t="n">
        <f>HYPERLINK("https://www.somogyi.hu/product/home-led305wwwh-led-es-dual-color-fenyfuzer-kul-es-belteri-kivitel-300-db-melegfeher-hidegfeher-led-21-m-fuzerhossz-led305wwwh-18589","https://www.somogyi.hu/product/home-led305wwwh-led-es-dual-color-fenyfuzer-kul-es-belteri-kivitel-300-db-melegfeher-hidegfeher-led-21-m-fuzerhossz-led305wwwh-18589")</f>
        <v>0.0</v>
      </c>
      <c r="E2342" s="7" t="n">
        <f>HYPERLINK("https://www.somogyi.hu/data/img/product_main_images/small/18589.jpg","https://www.somogyi.hu/data/img/product_main_images/small/18589.jpg")</f>
        <v>0.0</v>
      </c>
      <c r="F2342" s="2" t="inlineStr">
        <is>
          <t>5999084966072</t>
        </is>
      </c>
      <c r="G2342" s="4" t="inlineStr">
        <is>
          <t>A tökéletes fényfüzért keresi, amely bármilyen ünnepi dekorációt még varázslatosabbá tesz? Fedezze fel a Home LED305WWWH LED-es dual color fényfüzért, amely 300 db kétszínű, melegfehér és hidegfehér LED-del világítja meg otthonát vagy kertjét, akár kültéri, akár beltéri használatra. 
Ez a sokoldalú fényfüzér öt különböző funkcióval rendelkezik: melegfehér állófény, melegfehér villogó, hidegfehér állófény, hidegfehér villogó, valamint felváltva melegfehér és hidegfehér villogó. Ezek a funkciók lehetővé teszik, hogy az igényeihez és hangulatához igazítsa a világítást.
A fekete vezeték diszkrét megjelenést biztosít, így a LED-ek ragyogása kerül a figyelem középpontjába. A 21 méteres füzérhossz és a 3 méteres tápvezeték elegendő rugalmasságot biztosít a tökéletes elhelyezéshez, akár a karácsonyfán, akár a ház körül. A LED-ek közötti 7 cm-es távolság egyenletes fényeloszlást garantál.
A tartozék kültéri IP44 hálózati adapter biztosítja a biztonságos és megbízható tápellátást, még a zord időjárási körülmények között is.
Ne hagyja ki ezt a sokoldalú és látványos fényfüzért! Rendelje meg a Home LED305WWWH LED-es dual color fényfüzért még ma, és varázsoljon ünnepi hangulatot otthonába vagy kertjébe!</t>
        </is>
      </c>
    </row>
    <row r="2343">
      <c r="A2343" s="3" t="inlineStr">
        <is>
          <t>LED308DWW</t>
        </is>
      </c>
      <c r="B2343" s="2" t="inlineStr">
        <is>
          <t>Home LED308DWW DOT LED-es fényfüzér, kül- és beltéri kivitel, 300 db melegfehér LED, 8 világítási mód, 30 m füzérhossz</t>
        </is>
      </c>
      <c r="C2343" s="1" t="n">
        <v>9890.0</v>
      </c>
      <c r="D2343" s="7" t="n">
        <f>HYPERLINK("https://www.somogyi.hu/product/home-led308dww-dot-led-es-fenyfuzer-kul-es-belteri-kivitel-300-db-melegfeher-led-8-vilagitasi-mod-30-m-fuzerhossz-led308dww-18609","https://www.somogyi.hu/product/home-led308dww-dot-led-es-fenyfuzer-kul-es-belteri-kivitel-300-db-melegfeher-led-8-vilagitasi-mod-30-m-fuzerhossz-led308dww-18609")</f>
        <v>0.0</v>
      </c>
      <c r="E2343" s="7" t="n">
        <f>HYPERLINK("https://www.somogyi.hu/data/img/product_main_images/small/18609.jpg","https://www.somogyi.hu/data/img/product_main_images/small/18609.jpg")</f>
        <v>0.0</v>
      </c>
      <c r="F2343" s="2" t="inlineStr">
        <is>
          <t>5999084966270</t>
        </is>
      </c>
      <c r="G2343" s="4" t="inlineStr">
        <is>
          <t>Szeretne egy dekorációt, amely otthonát és kertjét is mesebeli fényárba borítja? A Home LED308DWW DOT LED-es fényfüzér ideális választás, ha hangulatos és varázslatos fényeket szeretne varázsolni, akár bel-, akár kültéren. 
A 300 db melegfehér LED kellemes, lágy fényt áraszt, amely tökéletesen illik ünnepi dekorációkhoz vagy akár romantikus esti hangulat megteremtéséhez. A 8 különböző világítási mód közül választhat, hogy mindig az alkalomhoz illő fényhatást biztosítsa. A memória funkció lehetővé teszi, hogy a fényfüzér megjegyezze az utoljára használt beállítást, így Önnek nem kell minden alkalommal újra beállítani. A fényfüzér tartozéka egy mini kábeldob, amely praktikus tárolást biztosít, és egyszerűvé teszi a felhelyezést. 
Az ismétlődő időzítés funkció (6 óra világítás, 18 óra kikapcsolt állapot) lehetőséget ad arra, hogy automatikusan működjön, anélkül, hogy Önnek bármit is tennie kellene. A zöld vezeték természetes megjelenést biztosít, könnyen beleolvad a környezetbe, így a figyelem kizárólag a csodálatos fényekre irányul. A 30 méter hosszú fényfüzér és a 10 cm-es LED-távolság elegendő teret biztosít, hogy nagyobb felületeket, kerítéseket vagy fenyőfákat is feldíszítsen. A kültéri IP44 hálózati adapter pedig garantálja a biztonságos használatot kültéren is, esőben vagy havazásban.
Tegye különlegessé otthonát vagy kertjét a Home LED308DWW DOT LED-es fényfüzérrel, és élvezze a varázslatos fényeket minden nap!</t>
        </is>
      </c>
    </row>
    <row r="2344">
      <c r="A2344" s="3" t="inlineStr">
        <is>
          <t>ML 20/WH</t>
        </is>
      </c>
      <c r="B2344" s="2" t="inlineStr">
        <is>
          <t>Home ML 20/WH micro LED-es fényfüzér, 1,9 m / 20 db hidegfehér micro LED, állófényű, átlátszó vezeték, elemes, beltéri kivitel</t>
        </is>
      </c>
      <c r="C2344" s="1" t="n">
        <v>839.0</v>
      </c>
      <c r="D2344" s="7" t="n">
        <f>HYPERLINK("https://www.somogyi.hu/product/home-ml-20-wh-micro-led-es-fenyfuzer-1-9-m-20-db-hidegfeher-micro-led-allofenyu-atlatszo-vezetek-elemes-belteri-kivitel-ml-20-wh-17746","https://www.somogyi.hu/product/home-ml-20-wh-micro-led-es-fenyfuzer-1-9-m-20-db-hidegfeher-micro-led-allofenyu-atlatszo-vezetek-elemes-belteri-kivitel-ml-20-wh-17746")</f>
        <v>0.0</v>
      </c>
      <c r="E2344" s="7" t="n">
        <f>HYPERLINK("https://www.somogyi.hu/data/img/product_main_images/small/17746.jpg","https://www.somogyi.hu/data/img/product_main_images/small/17746.jpg")</f>
        <v>0.0</v>
      </c>
      <c r="F2344" s="2" t="inlineStr">
        <is>
          <t>5999084957681</t>
        </is>
      </c>
      <c r="G2344" s="4" t="inlineStr">
        <is>
          <t>Akár egy romantikus vacsora, akár egy pihentető esti lazulás, a megfelelő világítás mindig kulcsfontosságú.
Az ML 20/WH pont ezt kínálja: egy beltéri fényfüzér 20 db hidegfehér micro-LED-del, amelyek mindegyike fényesen ragyogó, pontszerű fényt bocsát ki. 
A vékony, átlátszó vezeték lehetővé teszi, hogy a fényfüzért bárhová feltűnésmentesen elhelyezze. 
A be- és kikapcsolóval könnyedén irányíthatja a fényeket, a tápellátás 2 x 1,5 V (AA) elemmel működik, amelyek nem tartoznak a csomaghoz.
Varázsoljon meghitt hangulatot otthonában az ML 20/WH fényfüzérrel, és élvezze a hidegfehér micro-LED-ek által teremtett csodálatos atmoszférát!</t>
        </is>
      </c>
    </row>
    <row r="2345">
      <c r="A2345" s="3" t="inlineStr">
        <is>
          <t>LED158DWH</t>
        </is>
      </c>
      <c r="B2345" s="2" t="inlineStr">
        <is>
          <t>Home LED158DWH DOT LED-es fényfüzér, kül- és beltéri kivitel, 150 db hidegfehér LED, 8 világítási mód, 15 m füzérhossz</t>
        </is>
      </c>
      <c r="C2345" s="1" t="n">
        <v>5990.0</v>
      </c>
      <c r="D2345" s="7" t="n">
        <f>HYPERLINK("https://www.somogyi.hu/product/home-led158dwh-dot-led-es-fenyfuzer-kul-es-belteri-kivitel-150-db-hidegfeher-led-8-vilagitasi-mod-15-m-fuzerhossz-led158dwh-18607","https://www.somogyi.hu/product/home-led158dwh-dot-led-es-fenyfuzer-kul-es-belteri-kivitel-150-db-hidegfeher-led-8-vilagitasi-mod-15-m-fuzerhossz-led158dwh-18607")</f>
        <v>0.0</v>
      </c>
      <c r="E2345" s="7" t="n">
        <f>HYPERLINK("https://www.somogyi.hu/data/img/product_main_images/small/18607.jpg","https://www.somogyi.hu/data/img/product_main_images/small/18607.jpg")</f>
        <v>0.0</v>
      </c>
      <c r="F2345" s="2" t="inlineStr">
        <is>
          <t>5999084966256</t>
        </is>
      </c>
      <c r="G2345" s="4" t="inlineStr">
        <is>
          <t>Szeretne otthonába vagy kertjébe egy gyönyörű fényfüzért, amely minden alkalomra tökéletes? Ismerje meg a Home LED158DWH DOT LED-es fényfüzért, amely 150 db hidegfehér LED-del varázsol meghitt hangulatot bármilyen környezetben. 
Ez a kül- és beltéri kivitelű fényfüzér 8 különböző világítási móddal rendelkezik, amelyek memóriás funkcióval vannak ellátva, így mindig az Ön kedvenc beállításai szerint fog működni.
A fényfüzér tartozék mini kábeldobbal érkezik, ami megkönnyíti a tárolást és az elhelyezést. Az ismétlődő időzítő funkció (6h ON/18h OFF) lehetővé teszi a kényelmes és energiatakarékos használatot. A zöld vezeték diszkréten olvad bele a növényzetbe vagy a karácsonyfába, így csak a fények ragyogása kerül előtérbe.
A 15 méter hosszú füzér és a 3 méteres tápvezeték elegendő rugalmasságot biztosít a tökéletes elhelyezéshez. A LED-ek közötti 10 cm-es távolság egyenletes fényeloszlást garantál. A fényfüzér tápellátásáról kültéri IP44 hálózati adapter gondoskodik, amely biztonságos és megbízható működést nyújt.
Ne hagyja ki ezt a sokoldalú és látványos fényfüzért! Rendelje meg a Home LED158DWH DOT LED-es fényfüzért még ma, és varázsoljon ünnepi hangulatot otthonába vagy kertjébe!</t>
        </is>
      </c>
    </row>
    <row r="2346">
      <c r="A2346" s="3" t="inlineStr">
        <is>
          <t>MLF 200/WH</t>
        </is>
      </c>
      <c r="B2346" s="2" t="inlineStr">
        <is>
          <t>Home MLF 200/WH micro LED-es fényfüggöny, 3x2 m / 200 db hidegfehér micro LED, 8 fényprogram, távirányító, USB csatlakozó, beltéri kivitel</t>
        </is>
      </c>
      <c r="C2346" s="1" t="n">
        <v>7290.0</v>
      </c>
      <c r="D2346" s="7" t="n">
        <f>HYPERLINK("https://www.somogyi.hu/product/home-mlf-200-wh-micro-led-es-fenyfuggony-3x2-m-200-db-hidegfeher-micro-led-8-fenyprogram-taviranyito-usb-csatlakozo-belteri-kivitel-mlf-200-wh-17721","https://www.somogyi.hu/product/home-mlf-200-wh-micro-led-es-fenyfuggony-3x2-m-200-db-hidegfeher-micro-led-8-fenyprogram-taviranyito-usb-csatlakozo-belteri-kivitel-mlf-200-wh-17721")</f>
        <v>0.0</v>
      </c>
      <c r="E2346" s="7" t="n">
        <f>HYPERLINK("https://www.somogyi.hu/data/img/product_main_images/small/17721.jpg","https://www.somogyi.hu/data/img/product_main_images/small/17721.jpg")</f>
        <v>0.0</v>
      </c>
      <c r="F2346" s="2" t="inlineStr">
        <is>
          <t>5999084957438</t>
        </is>
      </c>
      <c r="G2346" s="4" t="inlineStr">
        <is>
          <t>Tegye otthonát varázslatossá a MLF 200/WH microLED-es távirányítós fényfüggönnyel! Ezzel a sokoldalú kiegészítővel otthona belső tereit még hangulatosabbá teheti.
A 10 füzér mindegyikében 20 hidegfehér színhőmérsékletű LED található, így az összesen 200 db pontszerűen ragyogó microLED káprázatos látványt nyújt. A távirányítós vezérlés kényelmes lehetőséget biztosít 8 különböző fényprogram, ismétlődő időzítés és állítható fényerő használatára.
Helyezze el otthonában a csupán 3 x 2 méter terjedelmű MLF 200/WH microLED-es távirányítós fényfüggönyt, hogy otthona új fényben ragyoghasson!</t>
        </is>
      </c>
    </row>
    <row r="2347">
      <c r="A2347" s="3" t="inlineStr">
        <is>
          <t>LED308DWH</t>
        </is>
      </c>
      <c r="B2347" s="2" t="inlineStr">
        <is>
          <t>Home LED308DWH DOT LED-es fényfüzér, kül- és beltéri kivitel, 300 db hidegfehér LED, 8 világítási mód, 30 m füzérhossz</t>
        </is>
      </c>
      <c r="C2347" s="1" t="n">
        <v>9890.0</v>
      </c>
      <c r="D2347" s="7" t="n">
        <f>HYPERLINK("https://www.somogyi.hu/product/home-led308dwh-dot-led-es-fenyfuzer-kul-es-belteri-kivitel-300-db-hidegfeher-led-8-vilagitasi-mod-30-m-fuzerhossz-led308dwh-18611","https://www.somogyi.hu/product/home-led308dwh-dot-led-es-fenyfuzer-kul-es-belteri-kivitel-300-db-hidegfeher-led-8-vilagitasi-mod-30-m-fuzerhossz-led308dwh-18611")</f>
        <v>0.0</v>
      </c>
      <c r="E2347" s="7" t="n">
        <f>HYPERLINK("https://www.somogyi.hu/data/img/product_main_images/small/18611.jpg","https://www.somogyi.hu/data/img/product_main_images/small/18611.jpg")</f>
        <v>0.0</v>
      </c>
      <c r="F2347" s="2" t="inlineStr">
        <is>
          <t>5999084966294</t>
        </is>
      </c>
      <c r="G2347" s="4" t="inlineStr">
        <is>
          <t>Szeretne egy dekorációt, amely otthonát és kertjét is mesebeli fényárba borítja? A Home LED308DWH DOT LED-es fényfüzér ideális választás, ha hangulatos és varázslatos fényeket szeretne varázsolni, akár bel-, akár kültéren. 
A 300 db hidegfehér LED kellemes, lágy fényt áraszt, amely tökéletesen illik ünnepi dekorációkhoz vagy akár romantikus esti hangulat megteremtéséhez. A 8 különböző világítási mód közül választhat, hogy mindig az alkalomhoz illő fényhatást biztosítsa. A memória funkció lehetővé teszi, hogy a fényfüzér megjegyezze az utoljára használt beállítást, így Önnek nem kell minden alkalommal újra beállítani. A fényfüzér tartozéka egy mini kábeldob, amely praktikus tárolást biztosít, és egyszerűvé teszi a felhelyezést. 
Az ismétlődő időzítés funkció (6 óra világítás, 18 óra kikapcsolt állapot) lehetőséget ad arra, hogy automatikusan működjön, anélkül, hogy Önnek bármit is tennie kellene. A zöld vezeték természetes megjelenést biztosít, könnyen beleolvad a környezetbe, így a figyelem kizárólag a csodálatos fényekre irányul. A 30 méter hosszú fényfüzér és a 10 cm-es LED-távolság elegendő teret biztosít, hogy nagyobb felületeket, kerítéseket vagy fenyőfákat is feldíszítsen. A kültéri IP44 hálózati adapter pedig garantálja a biztonságos használatot kültéren is, esőben vagy havazásban.
Tegye különlegessé otthonát vagy kertjét a Home LED308DWH DOT LED-es fényfüzérrel, és élvezze a varázslatos fényeket minden nap!</t>
        </is>
      </c>
    </row>
    <row r="2348">
      <c r="A2348" s="3" t="inlineStr">
        <is>
          <t>ML26WH</t>
        </is>
      </c>
      <c r="B2348" s="2" t="inlineStr">
        <is>
          <t>Home ML26WH micro LED fényfüzér, beltéri kivitel, 20 db hidegfehér micro LED, 1,9 m füzérhossz, elemes</t>
        </is>
      </c>
      <c r="C2348" s="1" t="n">
        <v>919.0</v>
      </c>
      <c r="D2348" s="7" t="n">
        <f>HYPERLINK("https://www.somogyi.hu/product/home-ml26wh-micro-led-fenyfuzer-belteri-kivitel-20-db-hidegfeher-micro-led-1-9-m-fuzerhossz-elemes-ml26wh-18592","https://www.somogyi.hu/product/home-ml26wh-micro-led-fenyfuzer-belteri-kivitel-20-db-hidegfeher-micro-led-1-9-m-fuzerhossz-elemes-ml26wh-18592")</f>
        <v>0.0</v>
      </c>
      <c r="E2348" s="7" t="n">
        <f>HYPERLINK("https://www.somogyi.hu/data/img/product_main_images/small/18592.jpg","https://www.somogyi.hu/data/img/product_main_images/small/18592.jpg")</f>
        <v>0.0</v>
      </c>
      <c r="F2348" s="2" t="inlineStr">
        <is>
          <t>5999084966102</t>
        </is>
      </c>
      <c r="G2348" s="4" t="inlineStr">
        <is>
          <t>Hogyan adhat extra ragyogást otthonának az ünnepi szezonban? A Home ML26WH micro LED fényfüzér tökéletes választás azok számára, akik egy hidegfehér, hangulatos fénydekorációval szeretnék feldobni otthonukat. 
Ez a beltéri kivitelű fényfüzér 20 db ragyogó hidegfehér micro LED-et tartalmaz, amelyek egyenletesen helyezkednek el az 1,9 méter hosszú, vékony átlátszó vezetéken, így szinte észrevétlenül simulnak bele a környezetbe, miközben a színes fények varázslatos hangulatot teremtenek. Az ON/OFF és TIMER funkcióval ellátott fényfüzér egyszerűen használható. A beépített időzítő automatikusan működik, így a fényfüzér 6 órán át világít, majd 18 órán át kikapcsolva marad, ezzel energiát takarítva meg, és biztosítva, hogy minden este automatikusan felragyogjanak a fények. A vékony, átlátszó vezeték diszkréten simul bele bármely dekorációs környezetbe, így a hidegfehér LED-ek tündöklése kerül a középpontba.
A fényesen ragyogó, pontszerű LED-ek 10 cm távolságra helyezkednek el egymástól, biztosítva, hogy a fények egyenletesen oszoljanak el a füzér teljes hosszán. A fényfüzér tápellátása 2 db 1,5 V-os (AA) elemmel történik, amely nem tartozék, de egyszerűen beszerezhető, így a füzér könnyedén elhelyezhető bárhol a lakásban, anélkül, hogy elektromos csatlakozóra lenne szükség.
A Home ML26WH micro LED fényfüzér ideális választás lehet karácsonyfák, polcok, ablakok vagy akár ajtókeretek díszítéséhez is, és bármely belső térbe vidám, ünnepi hangulatot varázsol. A hidegfehér fények feldobják a sötétebb téli estéket, és meghitt hangulatot árasztanak.
Ne hagyja ki ezt a különleges fényfüzért, és hozza el otthonába a színek varázsát! Rendelje meg a Home ML26WH micro LED fényfüzért, és élvezze a ragyogó, hidegfehér fények hangulatát minden nap!</t>
        </is>
      </c>
    </row>
    <row r="2349">
      <c r="A2349" s="3" t="inlineStr">
        <is>
          <t>LED158DWW</t>
        </is>
      </c>
      <c r="B2349" s="2" t="inlineStr">
        <is>
          <t>Home LED158DWW DOT LED-es fényfüzér, kül- és beltéri kivitel, 150 db melegfehér LED, 8 világítási mód, 15 m füzérhossz</t>
        </is>
      </c>
      <c r="C2349" s="1" t="n">
        <v>5990.0</v>
      </c>
      <c r="D2349" s="7" t="n">
        <f>HYPERLINK("https://www.somogyi.hu/product/home-led158dww-dot-led-es-fenyfuzer-kul-es-belteri-kivitel-150-db-melegfeher-led-8-vilagitasi-mod-15-m-fuzerhossz-led158dww-18602","https://www.somogyi.hu/product/home-led158dww-dot-led-es-fenyfuzer-kul-es-belteri-kivitel-150-db-melegfeher-led-8-vilagitasi-mod-15-m-fuzerhossz-led158dww-18602")</f>
        <v>0.0</v>
      </c>
      <c r="E2349" s="7" t="n">
        <f>HYPERLINK("https://www.somogyi.hu/data/img/product_main_images/small/18602.jpg","https://www.somogyi.hu/data/img/product_main_images/small/18602.jpg")</f>
        <v>0.0</v>
      </c>
      <c r="F2349" s="2" t="inlineStr">
        <is>
          <t>5999084966201</t>
        </is>
      </c>
      <c r="G2349" s="4" t="inlineStr">
        <is>
          <t>Szeretne otthonába vagy kertjébe egy gyönyörű fényfüzért, amely minden alkalomra tökéletes? Ismerje meg a Home LED158DWW DOT LED-es fényfüzért, amely 150 db melegfehér LED-del varázsol meghitt hangulatot bármilyen környezetben. 
Ez a kül- és beltéri kivitelű fényfüzér 8 különböző világítási móddal rendelkezik, amelyek memóriás funkcióval vannak ellátva, így mindig az Ön kedvenc beállításai szerint fog működni.
A fényfüzér tartozék mini kábeldobbal érkezik, ami megkönnyíti a tárolást és az elhelyezést. Az ismétlődő időzítő funkció (6h ON/18h OFF) lehetővé teszi a kényelmes és energiatakarékos használatot. A zöld vezeték diszkréten olvad bele a növényzetbe vagy a karácsonyfába, így csak a fények ragyogása kerül előtérbe.
A 15 méter hosszú füzér és a 3 méteres tápvezeték elegendő rugalmasságot biztosít a tökéletes elhelyezéshez. A LED-ek közötti 10 cm-es távolság egyenletes fényeloszlást garantál. A fényfüzér tápellátásáról kültéri IP44 hálózati adapter gondoskodik, amely biztonságos és megbízható működést nyújt.
Ne hagyja ki ezt a sokoldalú és látványos fényfüzért! Rendelje meg a Home LED158DWW DOT LED-es fényfüzért még ma, és varázsoljon ünnepi hangulatot otthonába vagy kertjébe!</t>
        </is>
      </c>
    </row>
    <row r="2350">
      <c r="A2350" s="3" t="inlineStr">
        <is>
          <t>MLC 58/M</t>
        </is>
      </c>
      <c r="B2350" s="2" t="inlineStr">
        <is>
          <t>Home MLC 58/M mini LED-es fényfüzér, 4,9 m / 50 db színes LED, 8 fényprogram, zöld vezeték, elemes, kül- és beltéri kivitel</t>
        </is>
      </c>
      <c r="C2350" s="1" t="n">
        <v>3190.0</v>
      </c>
      <c r="D2350" s="7" t="n">
        <f>HYPERLINK("https://www.somogyi.hu/product/home-mlc-58-m-mini-led-es-fenyfuzer-4-9-m-50-db-szines-led-8-fenyprogram-zold-vezetek-elemes-kul-es-belteri-kivitel-mlc-58-m-17334","https://www.somogyi.hu/product/home-mlc-58-m-mini-led-es-fenyfuzer-4-9-m-50-db-szines-led-8-fenyprogram-zold-vezetek-elemes-kul-es-belteri-kivitel-mlc-58-m-17334")</f>
        <v>0.0</v>
      </c>
      <c r="E2350" s="7" t="n">
        <f>HYPERLINK("https://www.somogyi.hu/data/img/product_main_images/small/17334.jpg","https://www.somogyi.hu/data/img/product_main_images/small/17334.jpg")</f>
        <v>0.0</v>
      </c>
      <c r="F2350" s="2" t="inlineStr">
        <is>
          <t>5999084953560</t>
        </is>
      </c>
      <c r="G2350" s="4" t="inlineStr">
        <is>
          <t>Egy sokoldalú, kül- és beltéren is használható fényfüzérre van szüksége, amely különleges hangulatot teremt? A Home MLC 58/M mini LED-es fényfüzér minden igényt kielégít, legyen szó ünnepi dekorációról vagy mindennapi hangulatvilágításról. 
Ez a 4,9 méter hosszú fényfüzér 50 darab színes LED-del van felszerelve, amelyek ragyogó és élénk fényt biztosítanak, bármely helyszínen használva. A zöld vezeték diszkréten illeszkedik a környezetbe, különösen jól mutat a karácsonyfán, de bármely növény vagy beltéri díszítés kiváló kiegészítője lehet. A fényfüzér különlegessége, hogy 8 különböző fényprogramot kínál, így változatos fényhatásokkal alakíthatja ki az ideális hangulatot. Emellett a beépített időzítő funkció biztosítja, hogy a fényfüzér automatikusan működjön: 6 órán keresztül világít, majd 18 órán át kikapcsolva marad, hogy energiatakarékos legyen és kényelmes használatot biztosítson. 
Az elemes tápellátás (3 db 1,5 V-os AA elem, nem tartozék) szabadságot ad abban, hogy bárhol elhelyezze, anélkül hogy a konnektorhoz kötött lenne. A fényfüzér kül- és beltéri kivitele garantálja, hogy bármilyen időjárási körülmények között használható legyen, így tökéletes választás az otthon díszítésére, teraszra, kertbe vagy erkélyre is. A 4,9 méteres hosszúság ideális méretet biztosít, hogy nagyobb terekben is látványosan érvényesüljön.
Hozza el az ünnepi varázst otthonába vagy kertjébe ezzel a sokoldalú, programozható fényfüzérrel!</t>
        </is>
      </c>
    </row>
    <row r="2351">
      <c r="A2351" s="3" t="inlineStr">
        <is>
          <t>ML 30/M</t>
        </is>
      </c>
      <c r="B2351" s="2" t="inlineStr">
        <is>
          <t>Home ML 30/M micro LED-es fényfüzér, 2,9 m / 30 db színes micro LED, állófényű, kapcsolható és időzíthető, átlátszó vezeték, elemes, beltéri kivitel</t>
        </is>
      </c>
      <c r="C2351" s="1" t="n">
        <v>919.0</v>
      </c>
      <c r="D2351" s="7" t="n">
        <f>HYPERLINK("https://www.somogyi.hu/product/home-ml-30-m-micro-led-es-fenyfuzer-2-9-m-30-db-szines-micro-led-allofenyu-kapcsolhato-es-idozitheto-atlatszo-vezetek-elemes-belteri-kivitel-ml-30-m-17735","https://www.somogyi.hu/product/home-ml-30-m-micro-led-es-fenyfuzer-2-9-m-30-db-szines-micro-led-allofenyu-kapcsolhato-es-idozitheto-atlatszo-vezetek-elemes-belteri-kivitel-ml-30-m-17735")</f>
        <v>0.0</v>
      </c>
      <c r="E2351" s="7" t="n">
        <f>HYPERLINK("https://www.somogyi.hu/data/img/product_main_images/small/17735.jpg","https://www.somogyi.hu/data/img/product_main_images/small/17735.jpg")</f>
        <v>0.0</v>
      </c>
      <c r="F2351" s="2" t="inlineStr">
        <is>
          <t>5999084957575</t>
        </is>
      </c>
      <c r="G2351" s="4" t="inlineStr">
        <is>
          <t>Akár egy romantikus vacsora, akár egy pihentető esti lazulás, a megfelelő világítás mindig kulcsfontosságú.
Az ML 30/M pont ezt kínálja: egy beltéri fényfüzér 30 db színes micro-LED-del, amelyek mindegyike fényesen ragyogó, pontszerű fényt bocsát ki. 
A vékony, átlátszó vezeték lehetővé teszi, hogy a fényfüzért bárhová feltűnésmentesen elhelyezze. 
A be- és kikapcsolóval és az időzített ismétlés funkcióval (6 óra be-, 18 óra kikapcsolt állapot) könnyedén irányíthatja a fényeket, míg a tápellátás 2 x 1,5 V (AA) elemmel működik, amelyek nem tartoznak a csomaghoz.
Varázsoljon meghitt hangulatot otthonában az ML 30/M fényfüzérrel, és élvezze a színes micro-LED-ek által teremtett csodálatos atmoszférát!</t>
        </is>
      </c>
    </row>
    <row r="2352">
      <c r="A2352" s="3" t="inlineStr">
        <is>
          <t>ML 250G/WH</t>
        </is>
      </c>
      <c r="B2352" s="2" t="inlineStr">
        <is>
          <t>Home ML 250G/WH micro LED-es fényfüzérköteg, 250 db hidegfehér micro LED, 10 ágú, vékony, zöld színű vezeték, hálózati adapter, kül- és beltéri kivitel</t>
        </is>
      </c>
      <c r="C2352" s="1" t="n">
        <v>7190.0</v>
      </c>
      <c r="D2352" s="7" t="n">
        <f>HYPERLINK("https://www.somogyi.hu/product/home-ml-250g-wh-micro-led-es-fenyfuzerkoteg-250-db-hidegfeher-micro-led-10-agu-vekony-zold-szinu-vezetek-halozati-adapter-kul-es-belteri-kivitel-ml-250g-wh-16986","https://www.somogyi.hu/product/home-ml-250g-wh-micro-led-es-fenyfuzerkoteg-250-db-hidegfeher-micro-led-10-agu-vekony-zold-szinu-vezetek-halozati-adapter-kul-es-belteri-kivitel-ml-250g-wh-16986")</f>
        <v>0.0</v>
      </c>
      <c r="E2352" s="7" t="n">
        <f>HYPERLINK("https://www.somogyi.hu/data/img/product_main_images/small/16986.jpg","https://www.somogyi.hu/data/img/product_main_images/small/16986.jpg")</f>
        <v>0.0</v>
      </c>
      <c r="F2352" s="2" t="inlineStr">
        <is>
          <t>5999084950187</t>
        </is>
      </c>
      <c r="G2352" s="4" t="inlineStr">
        <is>
          <t>Dekorálja otthonát az ML 250G/WH micro-LED-es fényfüzérköteggel! Ezzel a kivételes fénysorral könnyedén teremthet meghitt hangulatot beltérben vagy a szabadban.
A 250 fényesen ragyogó, hidegfehér színhőmérsékletű pontszerű micro-LED lehetővé teszi, hogy a fények tökéletesen passzoljanak a pillanathoz. Az ezüst színű, vékony vezeték segítségével könnyedén, szűkös helyen is rögzítheti a fénysort. Az ML 250G/WH kültéri IP44-es szabványú hálózati adapterrel működik, és a füzérek mérete egyenként 2,4 méter.
Ne habozzon, tegyen egy lépést a meghittség felé az ML 250G/WH micro-LED-es fénysorral! Fedezze fel a fények varázslatos világát, és teremtsen egyedülálló atmoszférát otthonában!</t>
        </is>
      </c>
    </row>
    <row r="2353">
      <c r="A2353" s="3" t="inlineStr">
        <is>
          <t>ML 30/WH</t>
        </is>
      </c>
      <c r="B2353" s="2" t="inlineStr">
        <is>
          <t>Home ML 30/WH micro LED-es fényfüzér, 2,9 m / 30 db hidegfehér micro LED, állófényű, kapcsolható és időzíthető, átlátszó vezeték, elemes, beltéri kivitel</t>
        </is>
      </c>
      <c r="C2353" s="1" t="n">
        <v>919.0</v>
      </c>
      <c r="D2353" s="7" t="n">
        <f>HYPERLINK("https://www.somogyi.hu/product/home-ml-30-wh-micro-led-es-fenyfuzer-2-9-m-30-db-hidegfeher-micro-led-allofenyu-kapcsolhato-es-idozitheto-atlatszo-vezetek-elemes-belteri-kivitel-ml-30-wh-17733","https://www.somogyi.hu/product/home-ml-30-wh-micro-led-es-fenyfuzer-2-9-m-30-db-hidegfeher-micro-led-allofenyu-kapcsolhato-es-idozitheto-atlatszo-vezetek-elemes-belteri-kivitel-ml-30-wh-17733")</f>
        <v>0.0</v>
      </c>
      <c r="E2353" s="7" t="n">
        <f>HYPERLINK("https://www.somogyi.hu/data/img/product_main_images/small/17733.jpg","https://www.somogyi.hu/data/img/product_main_images/small/17733.jpg")</f>
        <v>0.0</v>
      </c>
      <c r="F2353" s="2" t="inlineStr">
        <is>
          <t>5999084957551</t>
        </is>
      </c>
      <c r="G2353" s="4" t="inlineStr">
        <is>
          <t>Akár egy romantikus vacsora, akár egy pihentető esti lazulás, a megfelelő világítás mindig kulcsfontosságú.
Az ML 30/WH pont ezt kínálja: egy beltéri fényfüzér 30 db hidegfehér micro-LED-del, amelyek mindegyike fényesen ragyogó, pontszerű fényt bocsát ki. 
A vékony, átlátszó vezeték lehetővé teszi, hogy a fényfüzért bárhová feltűnésmentesen elhelyezze. 
A be- és kikapcsolóval és az időzített ismétlés funkcióval (6 óra be-, 18 óra kikapcsolt állapot) könnyedén irányíthatja a fényeket, míg a tápellátás 2 x 1,5 V (AA) elemmel működik, amelyek nem tartoznak a csomaghoz.
Varázsoljon meghitt hangulatot otthonában az ML 30/WH fényfüzérrel, és élvezze a hidegfehér micro-LED-ek által teremtett csodálatos atmoszférát!</t>
        </is>
      </c>
    </row>
    <row r="2354">
      <c r="A2354" s="3" t="inlineStr">
        <is>
          <t>ML26WW</t>
        </is>
      </c>
      <c r="B2354" s="2" t="inlineStr">
        <is>
          <t>Home ML26WW micro LED fényfüzér, beltéri kivitel, 20 db melegfehér micro LED, 1,9 m füzérhossz, elemes</t>
        </is>
      </c>
      <c r="C2354" s="1" t="n">
        <v>919.0</v>
      </c>
      <c r="D2354" s="7" t="n">
        <f>HYPERLINK("https://www.somogyi.hu/product/home-ml26ww-micro-led-fenyfuzer-belteri-kivitel-20-db-melegfeher-micro-led-1-9-m-fuzerhossz-elemes-ml26ww-18593","https://www.somogyi.hu/product/home-ml26ww-micro-led-fenyfuzer-belteri-kivitel-20-db-melegfeher-micro-led-1-9-m-fuzerhossz-elemes-ml26ww-18593")</f>
        <v>0.0</v>
      </c>
      <c r="E2354" s="7" t="n">
        <f>HYPERLINK("https://www.somogyi.hu/data/img/product_main_images/small/18593.jpg","https://www.somogyi.hu/data/img/product_main_images/small/18593.jpg")</f>
        <v>0.0</v>
      </c>
      <c r="F2354" s="2" t="inlineStr">
        <is>
          <t>5999084966119</t>
        </is>
      </c>
      <c r="G2354" s="4" t="inlineStr">
        <is>
          <t>Hogyan adhat extra ragyogást otthonának az ünnepi szezonban? A Home ML26WW micro LED fényfüzér tökéletes választás azok számára, akik egy melegfehér, hangulatos fénydekorációval szeretnék feldobni otthonukat. 
Ez a beltéri kivitelű fényfüzér 20 db ragyogó melegfehér micro LED-et tartalmaz, amelyek egyenletesen helyezkednek el az 1,9 méter hosszú, vékony átlátszó vezetéken, így szinte észrevétlenül simulnak bele a környezetbe, miközben a színes fények varázslatos hangulatot teremtenek. Az ON/OFF és TIMER funkcióval ellátott fényfüzér egyszerűen használható. A beépített időzítő automatikusan működik, így a fényfüzér 6 órán át világít, majd 18 órán át kikapcsolva marad, ezzel energiát takarítva meg, és biztosítva, hogy minden este automatikusan felragyogjanak a fények. A vékony, átlátszó vezeték diszkréten simul bele bármely dekorációs környezetbe, így a melegfehér LED-ek tündöklése kerül a középpontba.
A fényesen ragyogó, pontszerű LED-ek 10 cm távolságra helyezkednek el egymástól, biztosítva, hogy a fények egyenletesen oszoljanak el a füzér teljes hosszán. A fényfüzér tápellátása 2 db 1,5 V-os (AA) elemmel történik, amely nem tartozék, de egyszerűen beszerezhető, így a füzér könnyedén elhelyezhető bárhol a lakásban, anélkül, hogy elektromos csatlakozóra lenne szükség.
A Home ML26WW micro LED fényfüzér ideális választás lehet karácsonyfák, polcok, ablakok vagy akár ajtókeretek díszítéséhez is, és bármely belső térbe vidám, ünnepi hangulatot varázsol. A melegfehér fények feldobják a sötétebb téli estéket, és meghitt hangulatot árasztanak.
Ne hagyja ki ezt a különleges fényfüzért, és hozza el otthonába a színek varázsát! Rendelje meg a Home ML26WW micro LED fényfüzért, és élvezze a ragyogó, melegfehér fények hangulatát minden nap!</t>
        </is>
      </c>
    </row>
    <row r="2355">
      <c r="A2355" s="3" t="inlineStr">
        <is>
          <t>ML 50/M</t>
        </is>
      </c>
      <c r="B2355" s="2" t="inlineStr">
        <is>
          <t>Home ML 50/M micro LED-es fényfüzér, 4,9 m / 50 db színes micro LED, állófényű, kapcsolható és időzíthető, átlátszó vezeték, elemes, beltéri kivitel</t>
        </is>
      </c>
      <c r="C2355" s="1" t="n">
        <v>1350.0</v>
      </c>
      <c r="D2355" s="7" t="n">
        <f>HYPERLINK("https://www.somogyi.hu/product/home-ml-50-m-micro-led-es-fenyfuzer-4-9-m-50-db-szines-micro-led-allofenyu-kapcsolhato-es-idozitheto-atlatszo-vezetek-elemes-belteri-kivitel-ml-50-m-17736","https://www.somogyi.hu/product/home-ml-50-m-micro-led-es-fenyfuzer-4-9-m-50-db-szines-micro-led-allofenyu-kapcsolhato-es-idozitheto-atlatszo-vezetek-elemes-belteri-kivitel-ml-50-m-17736")</f>
        <v>0.0</v>
      </c>
      <c r="E2355" s="7" t="n">
        <f>HYPERLINK("https://www.somogyi.hu/data/img/product_main_images/small/17736.jpg","https://www.somogyi.hu/data/img/product_main_images/small/17736.jpg")</f>
        <v>0.0</v>
      </c>
      <c r="F2355" s="2" t="inlineStr">
        <is>
          <t>5999084957582</t>
        </is>
      </c>
      <c r="G2355" s="4" t="inlineStr">
        <is>
          <t>Akár egy romantikus vacsora, akár egy pihentető esti lazulás, a megfelelő világítás mindig kulcsfontosságú.
Az ML 50/M pont ezt kínálja: egy beltéri fényfüzér 50 db színes micro-LED-del, amelyek mindegyike fényesen ragyogó, pontszerű fényt bocsát ki. 
A vékony, átlátszó vezeték lehetővé teszi, hogy a fényfüzért bárhová feltűnésmentesen elhelyezze. 
A be- és kikapcsolóval és az időzített ismétlés funkcióval (6 óra be-, 18 óra kikapcsolt állapot) könnyedén irányíthatja a fényeket, míg a tápellátás 3 x 1,5 V (AA) elemmel működik, amelyek nem tartoznak a csomaghoz.
Varázsoljon meghitt hangulatot otthonában az ML 50/M fényfüzérrel, és élvezze a színes micro-LED-ek által teremtett csodálatos atmoszférát!</t>
        </is>
      </c>
    </row>
    <row r="2356">
      <c r="A2356" s="3" t="inlineStr">
        <is>
          <t>KII 100/M</t>
        </is>
      </c>
      <c r="B2356" s="2" t="inlineStr">
        <is>
          <t>Home KII 100/M LED-es fényfüzér, 8 m / 100 db színes LED, állófényű, zöld vezeték, hálózati adapter, beltéri kivitel</t>
        </is>
      </c>
      <c r="C2356" s="1" t="n">
        <v>4590.0</v>
      </c>
      <c r="D2356" s="7" t="n">
        <f>HYPERLINK("https://www.somogyi.hu/product/home-kii-100-m-led-es-fenyfuzer-8-m-100-db-szines-led-allofenyu-zold-vezetek-halozati-adapter-belteri-kivitel-kii-100-m-16133","https://www.somogyi.hu/product/home-kii-100-m-led-es-fenyfuzer-8-m-100-db-szines-led-allofenyu-zold-vezetek-halozati-adapter-belteri-kivitel-kii-100-m-16133")</f>
        <v>0.0</v>
      </c>
      <c r="E2356" s="7" t="n">
        <f>HYPERLINK("https://www.somogyi.hu/data/img/product_main_images/small/16133.jpg","https://www.somogyi.hu/data/img/product_main_images/small/16133.jpg")</f>
        <v>0.0</v>
      </c>
      <c r="F2356" s="2" t="inlineStr">
        <is>
          <t>5999084941659</t>
        </is>
      </c>
      <c r="G2356" s="4" t="inlineStr">
        <is>
          <t>Meg akarja világítani belső tereit különleges, lenyűgöző módon?
A KII 100/M pontosan erre kínál önnek lehetőséget! Egy kiváló minőségű, beltéri kivitelű világítási megoldás, melynek 100 színes állófényű LED-je ragyogással tölti meg lakását. 
A zöld vezeték jól illeszkedik a karácsonyfa környezetébe, így egy diszkrét és modern vizuális élményt nyújt. 
A beltéri hálózati adapternek köszönhetően, a KII 100/M egyszerűen és biztonságosan csatlakoztatható otthona hálózati aljzataihoz.
Lépjen be egy káprázatosan színes világba a KII 100/M-mel és hozzon létre otthonában egy lenyűgöző atmoszférát!</t>
        </is>
      </c>
    </row>
    <row r="2357">
      <c r="A2357" s="3" t="inlineStr">
        <is>
          <t>KII 100/WW</t>
        </is>
      </c>
      <c r="B2357" s="2" t="inlineStr">
        <is>
          <t>Home KII 100/WW LED-es fényfüzér, 8 m / 100 db melegfehér LED, állófényű, zöld vezeték, hálózati adapter, beltéri kivitel</t>
        </is>
      </c>
      <c r="C2357" s="1" t="n">
        <v>4590.0</v>
      </c>
      <c r="D2357" s="7" t="n">
        <f>HYPERLINK("https://www.somogyi.hu/product/home-kii-100-ww-led-es-fenyfuzer-8-m-100-db-melegfeher-led-allofenyu-zold-vezetek-halozati-adapter-belteri-kivitel-kii-100-ww-16132","https://www.somogyi.hu/product/home-kii-100-ww-led-es-fenyfuzer-8-m-100-db-melegfeher-led-allofenyu-zold-vezetek-halozati-adapter-belteri-kivitel-kii-100-ww-16132")</f>
        <v>0.0</v>
      </c>
      <c r="E2357" s="7" t="n">
        <f>HYPERLINK("https://www.somogyi.hu/data/img/product_main_images/small/16132.jpg","https://www.somogyi.hu/data/img/product_main_images/small/16132.jpg")</f>
        <v>0.0</v>
      </c>
      <c r="F2357" s="2" t="inlineStr">
        <is>
          <t>5999084941642</t>
        </is>
      </c>
      <c r="G2357" s="4" t="inlineStr">
        <is>
          <t>Meg akarja világítani belső tereit különleges, lenyűgöző módon?
A KII 100/WW pontosan erre kínál önnek lehetőséget! Egy kiváló minőségű, beltéri kivitelű világítási megoldás, melynek 100 melegfehér állófényű LED-je ragyogással tölti meg lakását. 
A zöld vezeték jól illeszkedik a karácsonyfa környezetébe, így egy diszkrét és modern vizuális élményt nyújt. 
A beltéri hálózati adapternek köszönhetően, a KII 100/WW egyszerűen és biztonságosan csatlakoztatható otthona hálózati aljzataihoz.
Lépjen be egy káprázatosan melegfehér világba a KII 100/WW-vel és hozzon létre otthonában egy lenyűgöző atmoszférát!</t>
        </is>
      </c>
    </row>
    <row r="2358">
      <c r="A2358" s="3" t="inlineStr">
        <is>
          <t>ML26M</t>
        </is>
      </c>
      <c r="B2358" s="2" t="inlineStr">
        <is>
          <t>Home ML26M micro LED fényfüzér, beltéri kivitel, 20 db színes micro LED, 1,9 m füzérhossz, elemes</t>
        </is>
      </c>
      <c r="C2358" s="1" t="n">
        <v>919.0</v>
      </c>
      <c r="D2358" s="7" t="n">
        <f>HYPERLINK("https://www.somogyi.hu/product/home-ml26m-micro-led-fenyfuzer-belteri-kivitel-20-db-szines-micro-led-1-9-m-fuzerhossz-elemes-ml26m-18590","https://www.somogyi.hu/product/home-ml26m-micro-led-fenyfuzer-belteri-kivitel-20-db-szines-micro-led-1-9-m-fuzerhossz-elemes-ml26m-18590")</f>
        <v>0.0</v>
      </c>
      <c r="E2358" s="7" t="n">
        <f>HYPERLINK("https://www.somogyi.hu/data/img/product_main_images/small/18590.jpg","https://www.somogyi.hu/data/img/product_main_images/small/18590.jpg")</f>
        <v>0.0</v>
      </c>
      <c r="F2358" s="2" t="inlineStr">
        <is>
          <t>5999084966089</t>
        </is>
      </c>
      <c r="G2358" s="4" t="inlineStr">
        <is>
          <t>Hogyan adhat extra ragyogást és színt otthonának az ünnepi szezonban? A Home ML26M micro LED fényfüzér tökéletes választás azok számára, akik egy színes, hangulatos fénydekorációval szeretnék feldobni otthonukat. 
Ez a beltéri kivitelű fényfüzér 20 db ragyogó színes micro LED-et tartalmaz, amelyek egyenletesen helyezkednek el az 1,9 méter hosszú, vékony átlátszó vezetéken, így szinte észrevétlenül simulnak bele a környezetbe, miközben a színes fények varázslatos hangulatot teremtenek. Az ON/OFF és TIMER funkcióval ellátott fényfüzér egyszerűen használható. A beépített időzítő automatikusan működik, így a fényfüzér 6 órán át világít, majd 18 órán át kikapcsolva marad, ezzel energiát takarítva meg, és biztosítva, hogy minden este automatikusan felragyogjanak a fények. A vékony, átlátszó vezeték diszkréten simul bele bármely dekorációs környezetbe, így a színes LED-ek tündöklése kerül a középpontba.
A fényesen ragyogó, pontszerű LED-ek 10 cm távolságra helyezkednek el egymástól, biztosítva, hogy a fények egyenletesen oszoljanak el a füzér teljes hosszán. A fényfüzér tápellátása 2 db 1,5 V-os (AA) elemmel történik, amely nem tartozék, de egyszerűen beszerezhető, így a füzér könnyedén elhelyezhető bárhol a lakásban, anélkül, hogy elektromos csatlakozóra lenne szükség.
A Home ML26M micro LED fényfüzér ideális választás lehet karácsonyfák, polcok, ablakok vagy akár ajtókeretek díszítéséhez is, és bármely belső térbe vidám, ünnepi hangulatot varázsol. A színes fények feldobják a sötétebb téli estéket, és meghitt hangulatot árasztanak.
Ne hagyja ki ezt a különleges fényfüzért, és hozza el otthonába a színek varázsát! Rendelje meg a Home ML26M micro LED fényfüzért, és élvezze a ragyogó, színes fények hangulatát minden nap!</t>
        </is>
      </c>
    </row>
    <row r="2359">
      <c r="A2359" s="3" t="inlineStr">
        <is>
          <t>KII 200/WH</t>
        </is>
      </c>
      <c r="B2359" s="2" t="inlineStr">
        <is>
          <t>Home KII 200/WH LED-es fényfüzér, 16 m / 200 db hidegfehér LED, állófényű, zöld vezeték, hálózati adapter, beltéri kivitel</t>
        </is>
      </c>
      <c r="C2359" s="1" t="n">
        <v>6690.0</v>
      </c>
      <c r="D2359" s="7" t="n">
        <f>HYPERLINK("https://www.somogyi.hu/product/home-kii-200-wh-led-es-fenyfuzer-16-m-200-db-hidegfeher-led-allofenyu-zold-vezetek-halozati-adapter-belteri-kivitel-kii-200-wh-16138","https://www.somogyi.hu/product/home-kii-200-wh-led-es-fenyfuzer-16-m-200-db-hidegfeher-led-allofenyu-zold-vezetek-halozati-adapter-belteri-kivitel-kii-200-wh-16138")</f>
        <v>0.0</v>
      </c>
      <c r="E2359" s="7" t="n">
        <f>HYPERLINK("https://www.somogyi.hu/data/img/product_main_images/small/16138.jpg","https://www.somogyi.hu/data/img/product_main_images/small/16138.jpg")</f>
        <v>0.0</v>
      </c>
      <c r="F2359" s="2" t="inlineStr">
        <is>
          <t>5999084941703</t>
        </is>
      </c>
      <c r="G2359" s="4" t="inlineStr">
        <is>
          <t>Meg akarja világítani belső tereit különleges, lenyűgöző módon?
A KII 200/WH pontosan erre kínál önnek lehetőséget! Egy kiváló minőségű, beltéri kivitelű világítási megoldás, melynek 200 hidegfehér állófényű LED-je ragyogással tölti meg lakását. 
A zöld vezeték jól illeszkedik a karácsonyfa környezetébe, így egy diszkrét és modern vizuális élményt nyújt. 
A beltéri hálózati adapternek köszönhetően, a KII 200/WH egyszerűen és biztonságosan csatlakoztatható otthona hálózati aljzataihoz.
Lépjen be egy káprázatosan hidegfehér világba a KII 200/WH-val és hozzon létre otthonában egy lenyűgöző atmoszférát!</t>
        </is>
      </c>
    </row>
    <row r="2360">
      <c r="A2360" s="3" t="inlineStr">
        <is>
          <t>KII 200/M</t>
        </is>
      </c>
      <c r="B2360" s="2" t="inlineStr">
        <is>
          <t>Home KII 200/M LED-es fényfüzér, 16 m / 200 db színes LED, állófényű, zöld vezeték, hálózati adapter, beltéri kivitel</t>
        </is>
      </c>
      <c r="C2360" s="1" t="n">
        <v>6690.0</v>
      </c>
      <c r="D2360" s="7" t="n">
        <f>HYPERLINK("https://www.somogyi.hu/product/home-kii-200-m-led-es-fenyfuzer-16-m-200-db-szines-led-allofenyu-zold-vezetek-halozati-adapter-belteri-kivitel-kii-200-m-16140","https://www.somogyi.hu/product/home-kii-200-m-led-es-fenyfuzer-16-m-200-db-szines-led-allofenyu-zold-vezetek-halozati-adapter-belteri-kivitel-kii-200-m-16140")</f>
        <v>0.0</v>
      </c>
      <c r="E2360" s="7" t="n">
        <f>HYPERLINK("https://www.somogyi.hu/data/img/product_main_images/small/16140.jpg","https://www.somogyi.hu/data/img/product_main_images/small/16140.jpg")</f>
        <v>0.0</v>
      </c>
      <c r="F2360" s="2" t="inlineStr">
        <is>
          <t>5999084941727</t>
        </is>
      </c>
      <c r="G2360" s="4" t="inlineStr">
        <is>
          <t>Meg akarja világítani belső tereit különleges, lenyűgöző módon?
A KII 200/M pontosan erre kínál önnek lehetőséget! Egy kiváló minőségű, beltéri kivitelű világítási megoldás, melynek 200 színes állófényű LED-je ragyogással tölti meg lakását. 
A zöld vezeték jól illeszkedik a karácsonyfa környezetébe, így egy diszkrét és modern vizuális élményt nyújt. 
A beltéri hálózati adapternek köszönhetően, a KII 200/M egyszerűen és biztonságosan csatlakoztatható otthona hálózati aljzataihoz.
Lépjen be egy káprázatosan színes világba a KII 200/M-mel és hozzon létre otthonában egy lenyűgöző atmoszférát!</t>
        </is>
      </c>
    </row>
    <row r="2361">
      <c r="A2361" s="3" t="inlineStr">
        <is>
          <t>MLF 400/WW</t>
        </is>
      </c>
      <c r="B2361" s="2" t="inlineStr">
        <is>
          <t>Home MLF 400/WW micro LED-es fényfüggöny, 2x2 m / 400 db melegfehér micro LED, átlátszó vezeték, hálózati adapter, kül- és beltéri kivitel</t>
        </is>
      </c>
      <c r="C2361" s="1" t="n">
        <v>10190.0</v>
      </c>
      <c r="D2361" s="7" t="n">
        <f>HYPERLINK("https://www.somogyi.hu/product/home-mlf-400-ww-micro-led-es-fenyfuggony-2x2-m-400-db-melegfeher-micro-led-atlatszo-vezetek-halozati-adapter-kul-es-belteri-kivitel-mlf-400-ww-16528","https://www.somogyi.hu/product/home-mlf-400-ww-micro-led-es-fenyfuggony-2x2-m-400-db-melegfeher-micro-led-atlatszo-vezetek-halozati-adapter-kul-es-belteri-kivitel-mlf-400-ww-16528")</f>
        <v>0.0</v>
      </c>
      <c r="E2361" s="7" t="n">
        <f>HYPERLINK("https://www.somogyi.hu/data/img/product_main_images/small/16528.jpg","https://www.somogyi.hu/data/img/product_main_images/small/16528.jpg")</f>
        <v>0.0</v>
      </c>
      <c r="F2361" s="2" t="inlineStr">
        <is>
          <t>5999084945602</t>
        </is>
      </c>
      <c r="G2361" s="4" t="inlineStr">
        <is>
          <t>Egy lenyűgöző fényfüggönyt keres, amely kültéren és beltéren egyaránt megállja a helyét? A Home MLF 400/WW micro LED-es fényfüggöny tökéletes választás, ha szeretné otthonát vagy kertjét elegáns, melegfehér fényekkel feldíszíteni. 
Ez a 2x2 méteres fényfüggöny 400 darab micro LED-et tartalmaz, amelyek meleg fényt árasztanak, így ideális választás ünnepi dekorációhoz, esküvőkhöz, partikhoz, vagy akár mindennapi használatra. A fényfüggöny átlátszó vezetéke diszkréten simul a környezetébe, így a fények kerülnek a fókuszba, kiemelve a dekoráció szépségét. A LED-ek közötti 10 cm távolság biztosítja, hogy a fények egyenletesen oszlanak el, és egységes fényhatást érnek el a teljes 2x2 méteres felületen. A 10 cm-es füzértávolság tovább fokozza a fényelosztást, így a fényfüggöny látványos, de mégis harmonikus marad.
A termék IP44-es kültéri adapterrel működik, amely garantálja, hogy időjárásálló és biztonságosan használható legyen akár kültéren is. Az 5 méteres tápkábel pedig elegendő hosszúságot biztosít ahhoz, hogy a fényfüggönyt kényelmesen elhelyezze a kívánt helyen, akár egy ablakon, falon vagy pergolán. Ez a fényfüggöny tökéletes választás minden olyan alkalomra, ahol a stílus és elegancia találkozik a praktikus használattal. A 400 melegfehér LED elegáns és modern megjelenést biztosít, miközben megbízható és energiatakarékos megoldásként szolgál.
Tegye különlegessé otthona vagy kertje megjelenését ezzel a gyönyörű fényfüggönnyel! Rendelje meg most, és varázsoljon ragyogó hangulatot bárhol, bármikor!</t>
        </is>
      </c>
    </row>
    <row r="2362">
      <c r="A2362" s="3" t="inlineStr">
        <is>
          <t>MLC 58/WH</t>
        </is>
      </c>
      <c r="B2362" s="2" t="inlineStr">
        <is>
          <t>Home MLC 58/WH mini LED-es fényfüzér, 4,9 m / 50 db hidegfehér LED, 8 fényprogram, zöld vezeték, elemes, kül- és beltéri kivitel</t>
        </is>
      </c>
      <c r="C2362" s="1" t="n">
        <v>3190.0</v>
      </c>
      <c r="D2362" s="7" t="n">
        <f>HYPERLINK("https://www.somogyi.hu/product/home-mlc-58-wh-mini-led-es-fenyfuzer-4-9-m-50-db-hidegfeher-led-8-fenyprogram-zold-vezetek-elemes-kul-es-belteri-kivitel-mlc-58-wh-14845","https://www.somogyi.hu/product/home-mlc-58-wh-mini-led-es-fenyfuzer-4-9-m-50-db-hidegfeher-led-8-fenyprogram-zold-vezetek-elemes-kul-es-belteri-kivitel-mlc-58-wh-14845")</f>
        <v>0.0</v>
      </c>
      <c r="E2362" s="7" t="n">
        <f>HYPERLINK("https://www.somogyi.hu/data/img/product_main_images/small/14845.jpg","https://www.somogyi.hu/data/img/product_main_images/small/14845.jpg")</f>
        <v>0.0</v>
      </c>
      <c r="F2362" s="2" t="inlineStr">
        <is>
          <t>5999084928827</t>
        </is>
      </c>
      <c r="G2362" s="4" t="inlineStr">
        <is>
          <t>Egy sokoldalú, kül- és beltéren is használható fényfüzérre van szüksége, amely különleges hangulatot teremt? A Home MLC 58/WH mini LED-es fényfüzér minden igényt kielégít, legyen szó ünnepi dekorációról vagy mindennapi hangulatvilágításról. 
Ez a 4,9 méter hosszú fényfüzér 50 darab hidegfehér LED-del van felszerelve, amelyek ragyogó és élénk fényt biztosítanak, bármely helyszínen használva. A zöld vezeték diszkréten illeszkedik a környezetbe, különösen jól mutat a karácsonyfán, de bármely növény vagy beltéri díszítés kiváló kiegészítője lehet. A fényfüzér különlegessége, hogy 8 különböző fényprogramot kínál, így változatos fényhatásokkal alakíthatja ki az ideális hangulatot. Emellett a beépített időzítő funkció biztosítja, hogy a fényfüzér automatikusan működjön: 6 órán keresztül világít, majd 18 órán át kikapcsolva marad, hogy energiatakarékos legyen és kényelmes használatot biztosítson. 
Az elemes tápellátás (3 db 1,5 V-os AA elem, nem tartozék) szabadságot ad abban, hogy bárhol elhelyezze, anélkül hogy a konnektorhoz kötött lenne. A fényfüzér kül- és beltéri kivitele garantálja, hogy bármilyen időjárási körülmények között használható legyen, így tökéletes választás az otthon díszítésére, teraszra, kertbe vagy erkélyre is. A 4,9 méteres hosszúság ideális méretet biztosít, hogy nagyobb terekben is látványosan érvényesüljön.
Hozza el az ünnepi varázst otthonába vagy kertjébe ezzel a sokoldalú, programozható fényfüzérrel!</t>
        </is>
      </c>
    </row>
    <row r="2363">
      <c r="A2363" s="3" t="inlineStr">
        <is>
          <t>ML 50/WW</t>
        </is>
      </c>
      <c r="B2363" s="2" t="inlineStr">
        <is>
          <t>Home ML 50/WW micro LED-es fényfüzér, 4,9 m / 50 db melegfehér micro LED, állófényű, kapcsolható és időzíthető, átlátszó vezeték, elemes, beltéri kivitel</t>
        </is>
      </c>
      <c r="C2363" s="1" t="n">
        <v>1350.0</v>
      </c>
      <c r="D2363" s="7" t="n">
        <f>HYPERLINK("https://www.somogyi.hu/product/home-ml-50-ww-micro-led-es-fenyfuzer-4-9-m-50-db-melegfeher-micro-led-allofenyu-kapcsolhato-es-idozitheto-atlatszo-vezetek-elemes-belteri-kivitel-ml-50-ww-14719","https://www.somogyi.hu/product/home-ml-50-ww-micro-led-es-fenyfuzer-4-9-m-50-db-melegfeher-micro-led-allofenyu-kapcsolhato-es-idozitheto-atlatszo-vezetek-elemes-belteri-kivitel-ml-50-ww-14719")</f>
        <v>0.0</v>
      </c>
      <c r="E2363" s="7" t="n">
        <f>HYPERLINK("https://www.somogyi.hu/data/img/product_main_images/small/14719.jpg","https://www.somogyi.hu/data/img/product_main_images/small/14719.jpg")</f>
        <v>0.0</v>
      </c>
      <c r="F2363" s="2" t="inlineStr">
        <is>
          <t>5999084927615</t>
        </is>
      </c>
      <c r="G2363" s="4" t="inlineStr">
        <is>
          <t>Akár egy romantikus vacsora, akár egy pihentető esti lazulás, a megfelelő világítás mindig kulcsfontosságú.
Az ML 50/WW pont ezt kínálja: egy beltéri fényfüzér 50 db melegfehér micro-LED-del, amelyek mindegyike fényesen ragyogó, pontszerű fényt bocsát ki. 
A vékony, átlátszó vezeték lehetővé teszi, hogy a fényfüzért bárhová feltűnésmentesen elhelyezze. 
A be- és kikapcsolóval és az időzített ismétlés funkcióval (6 óra be-, 18 óra kikapcsolt állapot) könnyedén irányíthatja a fényeket, míg a tápellátás 3 x 1,5 V (AA) elemmel működik, amelyek nem tartoznak a csomaghoz.
Varázsoljon meghitt hangulatot otthonában az ML 50/WW fényfüzérrel, és élvezze a melegfehér micro-LED-ek által teremtett csodálatos atmoszférát!</t>
        </is>
      </c>
    </row>
    <row r="2364">
      <c r="A2364" s="3" t="inlineStr">
        <is>
          <t>LED508DWW</t>
        </is>
      </c>
      <c r="B2364" s="2" t="inlineStr">
        <is>
          <t>Home LED508DWW DOT LED-es fényfüzér, kül- és beltéri kivitel, 500 db melegfehér LED, 8 világítási mód, 50 m füzérhossz</t>
        </is>
      </c>
      <c r="C2364" s="1" t="n">
        <v>15290.0</v>
      </c>
      <c r="D2364" s="7" t="n">
        <f>HYPERLINK("https://www.somogyi.hu/product/home-led508dww-dot-led-es-fenyfuzer-kul-es-belteri-kivitel-500-db-melegfeher-led-8-vilagitasi-mod-50-m-fuzerhossz-led508dww-18612","https://www.somogyi.hu/product/home-led508dww-dot-led-es-fenyfuzer-kul-es-belteri-kivitel-500-db-melegfeher-led-8-vilagitasi-mod-50-m-fuzerhossz-led508dww-18612")</f>
        <v>0.0</v>
      </c>
      <c r="E2364" s="7" t="n">
        <f>HYPERLINK("https://www.somogyi.hu/data/img/product_main_images/small/18612.jpg","https://www.somogyi.hu/data/img/product_main_images/small/18612.jpg")</f>
        <v>0.0</v>
      </c>
      <c r="F2364" s="2" t="inlineStr">
        <is>
          <t>5999084966300</t>
        </is>
      </c>
      <c r="G2364" s="4" t="inlineStr">
        <is>
          <t>Szeretne egy dekorációt, amely otthonát és kertjét is mesebeli fényárba borítja? A Home LED508DWW DOT LED-es fényfüzér ideális választás, ha hangulatos és varázslatos fényeket szeretne varázsolni, akár bel-, akár kültéren. 
Az 500 db melegfehér LED kellemes, lágy fényt áraszt, amely tökéletesen illik ünnepi dekorációkhoz vagy akár romantikus esti hangulat megteremtéséhez. A 8 különböző világítási mód közül választhat, hogy mindig az alkalomhoz illő fényhatást biztosítsa. A memória funkció lehetővé teszi, hogy a fényfüzér megjegyezze az utoljára használt beállítást, így Önnek nem kell minden alkalommal újra beállítani. A fényfüzér tartozéka egy mini kábeldob, amely praktikus tárolást biztosít, és egyszerűvé teszi a felhelyezést. 
Az ismétlődő időzítés funkció (6 óra világítás, 18 óra kikapcsolt állapot) lehetőséget ad arra, hogy automatikusan működjön, anélkül, hogy Önnek bármit is tennie kellene. A zöld vezeték természetes megjelenést biztosít, könnyen beleolvad a környezetbe, így a figyelem kizárólag a csodálatos fényekre irányul. A 50 méter hosszú fényfüzér és a 10 cm-es LED-távolság elegendő teret biztosít, hogy nagyobb felületeket, kerítéseket vagy fenyőfákat is feldíszítsen. A kültéri IP44 hálózati adapter pedig garantálja a biztonságos használatot kültéren is, esőben vagy havazásban.
Tegye különlegessé otthonát vagy kertjét a Home LED508DWW DOT LED-es fényfüzérrel, és élvezze a varázslatos fényeket minden nap!</t>
        </is>
      </c>
    </row>
    <row r="2365">
      <c r="A2365" s="3" t="inlineStr">
        <is>
          <t>MLC 40B/M</t>
        </is>
      </c>
      <c r="B2365" s="2" t="inlineStr">
        <is>
          <t>LED-es mini gömb fényfüzér</t>
        </is>
      </c>
      <c r="C2365" s="1" t="n">
        <v>1690.0</v>
      </c>
      <c r="D2365" s="7" t="n">
        <f>HYPERLINK("https://www.somogyi.hu/product/led-es-mini-gomb-fenyfuzer-mlc-40b-m-16016","https://www.somogyi.hu/product/led-es-mini-gomb-fenyfuzer-mlc-40b-m-16016")</f>
        <v>0.0</v>
      </c>
      <c r="E2365" s="7" t="n">
        <f>HYPERLINK("https://www.somogyi.hu/data/img/product_main_images/small/16016.jpg","https://www.somogyi.hu/data/img/product_main_images/small/16016.jpg")</f>
        <v>0.0</v>
      </c>
      <c r="F2365" s="2" t="inlineStr">
        <is>
          <t>5999084940485</t>
        </is>
      </c>
      <c r="G2365" s="4" t="inlineStr">
        <is>
          <t>MLC 40B/M színes műanyag gömb dekoráció termékünk 40 db színes LED-del ragyogja be az ünnepeket. A fényfüzér beltéri használatra alkalmas, vezetéke átlátszó. Tápellátása: 3 db 1,5 V (AA) elem, nem tartozék</t>
        </is>
      </c>
    </row>
    <row r="2366">
      <c r="A2366" s="3" t="inlineStr">
        <is>
          <t>LED 108C/M</t>
        </is>
      </c>
      <c r="B2366" s="2" t="inlineStr">
        <is>
          <t>Home LED 108C/M LED-es fényfüzér, 7 m / 100 db színes LED, 8 fényprogram, zöld vezeték, hálózati adapter, kül- és beltéri kivitel</t>
        </is>
      </c>
      <c r="C2366" s="1" t="n">
        <v>5790.0</v>
      </c>
      <c r="D2366" s="7" t="n">
        <f>HYPERLINK("https://www.somogyi.hu/product/home-led-108c-m-led-es-fenyfuzer-7-m-100-db-szines-led-8-fenyprogram-zold-vezetek-halozati-adapter-kul-es-belteri-kivitel-led-108c-m-15478","https://www.somogyi.hu/product/home-led-108c-m-led-es-fenyfuzer-7-m-100-db-szines-led-8-fenyprogram-zold-vezetek-halozati-adapter-kul-es-belteri-kivitel-led-108c-m-15478")</f>
        <v>0.0</v>
      </c>
      <c r="E2366" s="7" t="n">
        <f>HYPERLINK("https://www.somogyi.hu/data/img/product_main_images/small/15478.jpg","https://www.somogyi.hu/data/img/product_main_images/small/15478.jpg")</f>
        <v>0.0</v>
      </c>
      <c r="F2366" s="2" t="inlineStr">
        <is>
          <t>5999084935122</t>
        </is>
      </c>
      <c r="G2366" s="4" t="inlineStr">
        <is>
          <t>Szeretne meghitt hangulatot teremteni otthonában egyedi fényekkel? A LED 108C/M fényfüzér kiváló választás erre a célra!
Kivitelezése lehetővé teszi, hogy akár a kertben, akár nappalijában ragyoghasson. 
A füzér 8 különböző programot kínál, így minden napra választhat egy új fényjátékot, a memória funkció pedig emlékszik az Ön kedvenc beállítására. 
A zöld vezeték diszkréten simul a karácsonyfa környezetébe, így csak a 100 db színes LED ragyogása érvényesül. A kültéri IP44-es hálózati adapter pedig gondoskodik az állandó és biztonságos működésről.
Hozza közelebb a csillogó estéket otthonába a LED 108C/M fényfüzérrel!</t>
        </is>
      </c>
    </row>
    <row r="2367">
      <c r="A2367" s="3" t="inlineStr">
        <is>
          <t>KKL 500C/WH</t>
        </is>
      </c>
      <c r="B2367" s="2" t="inlineStr">
        <is>
          <t>Home KKL 500C/WH LED-es fényfüzér, 35 m / 500 db hidegfehér LED, állófényű, zöld vezeték, hálózati adapter, kül- és beltéri kivitel</t>
        </is>
      </c>
      <c r="C2367" s="1" t="n">
        <v>14390.0</v>
      </c>
      <c r="D2367" s="7" t="n">
        <f>HYPERLINK("https://www.somogyi.hu/product/home-kkl-500c-wh-led-es-fenyfuzer-35-m-500-db-hidegfeher-led-allofenyu-zold-vezetek-halozati-adapter-kul-es-belteri-kivitel-kkl-500c-wh-15585","https://www.somogyi.hu/product/home-kkl-500c-wh-led-es-fenyfuzer-35-m-500-db-hidegfeher-led-allofenyu-zold-vezetek-halozati-adapter-kul-es-belteri-kivitel-kkl-500c-wh-15585")</f>
        <v>0.0</v>
      </c>
      <c r="E2367" s="7" t="n">
        <f>HYPERLINK("https://www.somogyi.hu/data/img/product_main_images/small/15585.jpg","https://www.somogyi.hu/data/img/product_main_images/small/15585.jpg")</f>
        <v>0.0</v>
      </c>
      <c r="F2367" s="2" t="inlineStr">
        <is>
          <t>5999084936198</t>
        </is>
      </c>
      <c r="G2367" s="4" t="inlineStr">
        <is>
          <t>Sokoldalú fényforrást keres, ami bevilágíthatja otthona minden szegletét? A KKL 500C/WH fényfüzér a tökéletes választás!
Legyen szó kerti partiról vagy otthoni meghitt estékről, ez a termék mind kinti, mind benti használatra ideális. 
Az 500 db hidegfehér, állófényű LED folyamatosan ragyog, emelve az adott helyiség vagy kert hangulatát. 
A zöld vezeték diszkréten illeszkedik a karácsonyfa környezetébe, míg a kültéri IP44-es hálózati adapter biztosítja a megbízható tápellátást.
Varázsoljon mesebeli hangulatot a KKL 500C/WH fényfüzérrel!</t>
        </is>
      </c>
    </row>
    <row r="2368">
      <c r="A2368" s="3" t="inlineStr">
        <is>
          <t>ML 160/WW</t>
        </is>
      </c>
      <c r="B2368" s="2" t="inlineStr">
        <is>
          <t>Home ML 160/WW micro LED-es fényfüzér, 15,9 m / 160 db melegfehér micro LED, állófényű, vékony vezeték, hálózati adapter, kül- és beltéri kivitel</t>
        </is>
      </c>
      <c r="C2368" s="1" t="n">
        <v>5690.0</v>
      </c>
      <c r="D2368" s="7" t="n">
        <f>HYPERLINK("https://www.somogyi.hu/product/home-ml-160-ww-micro-led-es-fenyfuzer-15-9-m-160-db-melegfeher-micro-led-allofenyu-vekony-vezetek-halozati-adapter-kul-es-belteri-kivitel-ml-160-ww-17732","https://www.somogyi.hu/product/home-ml-160-ww-micro-led-es-fenyfuzer-15-9-m-160-db-melegfeher-micro-led-allofenyu-vekony-vezetek-halozati-adapter-kul-es-belteri-kivitel-ml-160-ww-17732")</f>
        <v>0.0</v>
      </c>
      <c r="E2368" s="7" t="n">
        <f>HYPERLINK("https://www.somogyi.hu/data/img/product_main_images/small/17732.jpg","https://www.somogyi.hu/data/img/product_main_images/small/17732.jpg")</f>
        <v>0.0</v>
      </c>
      <c r="F2368" s="2" t="inlineStr">
        <is>
          <t>5999084957544</t>
        </is>
      </c>
      <c r="G2368" s="4" t="inlineStr">
        <is>
          <t>Színtiszta csillogás és varázslatos hangulat - válassza az ML 160/WW microLED-es fényfüzért, hogy otthonát ragyogóbbá és meghittebbé varázsolhassa!
Ezt a rendkívüli fényfüzért beltérbe vagy szabadba is telepítheti, a vékony vezeték és a 160 darab melegfehér microLED gondoskodik arról, hogy az eredmény mindig lenyűgöző legyen. Az füzér szikrázó fénye, valamint a hosszú, 15,9 méteres kábel egyaránt lehetővé teszi a kreatív dekorációt és a hangulatos megvilágítást.
Tegye lakását különlegessé az ML 160/WW microLED-es fényfüzér segítségével!</t>
        </is>
      </c>
    </row>
    <row r="2369">
      <c r="A2369" s="3" t="inlineStr">
        <is>
          <t>KII 100/T</t>
        </is>
      </c>
      <c r="B2369" s="2" t="inlineStr">
        <is>
          <t>Home KII 100/T LED-es fényfüzér, 8 m / 100 db türkiz LED, állófényű, zöld vezeték, hálózati adapter, beltéri kivitel</t>
        </is>
      </c>
      <c r="C2369" s="1" t="n">
        <v>4590.0</v>
      </c>
      <c r="D2369" s="7" t="n">
        <f>HYPERLINK("https://www.somogyi.hu/product/home-kii-100-t-led-es-fenyfuzer-8-m-100-db-turkiz-led-allofenyu-zold-vezetek-halozati-adapter-belteri-kivitel-kii-100-t-16137","https://www.somogyi.hu/product/home-kii-100-t-led-es-fenyfuzer-8-m-100-db-turkiz-led-allofenyu-zold-vezetek-halozati-adapter-belteri-kivitel-kii-100-t-16137")</f>
        <v>0.0</v>
      </c>
      <c r="E2369" s="7" t="n">
        <f>HYPERLINK("https://www.somogyi.hu/data/img/product_main_images/small/16137.jpg","https://www.somogyi.hu/data/img/product_main_images/small/16137.jpg")</f>
        <v>0.0</v>
      </c>
      <c r="F2369" s="2" t="inlineStr">
        <is>
          <t>5999084941697</t>
        </is>
      </c>
      <c r="G2369" s="4" t="inlineStr">
        <is>
          <t>Meg akarja világítani belső tereit különleges, lenyűgöző módon?
A KII 100/T pontosan erre kínál önnek lehetőséget! Egy kiváló minőségű, beltéri kivitelű világítási megoldás, melynek 100 türkiz állófényű LED-je ragyogással tölti meg lakását. 
A zöld vezeték jól illeszkedik a karácsonyfa környezetébe, így egy diszkrét és modern vizuális élményt nyújt. 
A beltéri hálózati adapternek köszönhetően, a KII 100/T egyszerűen és biztonságosan csatlakoztatható otthona hálózati aljzataihoz.
Lépjen be egy káprázatosan türkiz világba a KII 100/T-vel és hozzon létre otthonában egy lenyűgöző atmoszférát!</t>
        </is>
      </c>
    </row>
    <row r="2370">
      <c r="A2370" s="3" t="inlineStr">
        <is>
          <t>KII 50/M</t>
        </is>
      </c>
      <c r="B2370" s="2" t="inlineStr">
        <is>
          <t>Home KII 50/M LED-es fényfüzér, 4 m / 50 db színes LED, állófényű, zöld vezeték, hálózati adapter, beltéri kivitel</t>
        </is>
      </c>
      <c r="C2370" s="1" t="n">
        <v>3090.0</v>
      </c>
      <c r="D2370" s="7" t="n">
        <f>HYPERLINK("https://www.somogyi.hu/product/home-kii-50-m-led-es-fenyfuzer-4-m-50-db-szines-led-allofenyu-zold-vezetek-halozati-adapter-belteri-kivitel-kii-50-m-16126","https://www.somogyi.hu/product/home-kii-50-m-led-es-fenyfuzer-4-m-50-db-szines-led-allofenyu-zold-vezetek-halozati-adapter-belteri-kivitel-kii-50-m-16126")</f>
        <v>0.0</v>
      </c>
      <c r="E2370" s="7" t="n">
        <f>HYPERLINK("https://www.somogyi.hu/data/img/product_main_images/small/16126.jpg","https://www.somogyi.hu/data/img/product_main_images/small/16126.jpg")</f>
        <v>0.0</v>
      </c>
      <c r="F2370" s="2" t="inlineStr">
        <is>
          <t>5999084941581</t>
        </is>
      </c>
      <c r="G2370" s="4" t="inlineStr">
        <is>
          <t>Meg akarja világítani belső tereit különleges, lenyűgöző módon?
A KII 50/M pontosan erre kínál önnek lehetőséget! Egy kiváló minőségű, beltéri kivitelű világítási megoldás, melynek 50 színes állófényű LED-je ragyogással tölti meg lakását. 
A zöld vezeték jól illeszkedik a karácsonyfa környezetébe, így egy diszkrét és modern vizuális élményt nyújt. 
A beltéri hálózati adapternek köszönhetően, a KII 50/M egyszerűen és biztonságosan csatlakoztatható otthona hálózati aljzataihoz.
Lépjen be egy káprázatosan színes világba a KII 50/M-mel és hozzon létre otthonában egy lenyűgöző atmoszférát!</t>
        </is>
      </c>
    </row>
    <row r="2371">
      <c r="A2371" s="3" t="inlineStr">
        <is>
          <t>MLC 58/WW</t>
        </is>
      </c>
      <c r="B2371" s="2" t="inlineStr">
        <is>
          <t>Home MLC 58/WW mini LED-es fényfüzér, 4,9 m / 50 db melegfehér LED, 8 fényprogram, zöld vezeték, elemes, kül- és beltéri kivitel</t>
        </is>
      </c>
      <c r="C2371" s="1" t="n">
        <v>3190.0</v>
      </c>
      <c r="D2371" s="7" t="n">
        <f>HYPERLINK("https://www.somogyi.hu/product/home-mlc-58-ww-mini-led-es-fenyfuzer-4-9-m-50-db-melegfeher-led-8-fenyprogram-zold-vezetek-elemes-kul-es-belteri-kivitel-mlc-58-ww-15004","https://www.somogyi.hu/product/home-mlc-58-ww-mini-led-es-fenyfuzer-4-9-m-50-db-melegfeher-led-8-fenyprogram-zold-vezetek-elemes-kul-es-belteri-kivitel-mlc-58-ww-15004")</f>
        <v>0.0</v>
      </c>
      <c r="E2371" s="7" t="n">
        <f>HYPERLINK("https://www.somogyi.hu/data/img/product_main_images/small/15004.jpg","https://www.somogyi.hu/data/img/product_main_images/small/15004.jpg")</f>
        <v>0.0</v>
      </c>
      <c r="F2371" s="2" t="inlineStr">
        <is>
          <t>5999084930387</t>
        </is>
      </c>
      <c r="G2371" s="4" t="inlineStr">
        <is>
          <t>Egy sokoldalú, kül- és beltéren is használható fényfüzérre van szüksége, amely különleges hangulatot teremt? A Home MLC 58/WW mini LED-es fényfüzér minden igényt kielégít, legyen szó ünnepi dekorációról vagy mindennapi hangulatvilágításról. 
Ez a 4,9 méter hosszú fényfüzér 50 darab melegfehér LED-del van felszerelve, amelyek ragyogó és élénk fényt biztosítanak, bármely helyszínen használva. A zöld vezeték diszkréten illeszkedik a környezetbe, különösen jól mutat a karácsonyfán, de bármely növény vagy beltéri díszítés kiváló kiegészítője lehet. A fényfüzér különlegessége, hogy 8 különböző fényprogramot kínál, így változatos fényhatásokkal alakíthatja ki az ideális hangulatot. Emellett a beépített időzítő funkció biztosítja, hogy a fényfüzér automatikusan működjön: 6 órán keresztül világít, majd 18 órán át kikapcsolva marad, hogy energiatakarékos legyen és kényelmes használatot biztosítson. 
Az elemes tápellátás (3 db 1,5 V-os AA elem, nem tartozék) szabadságot ad abban, hogy bárhol elhelyezze, anélkül hogy a konnektorhoz kötött lenne. A fényfüzér kül- és beltéri kivitele garantálja, hogy bármilyen időjárási körülmények között használható legyen, így tökéletes választás az otthon díszítésére, teraszra, kertbe vagy erkélyre is. A 4,9 méteres hosszúság ideális méretet biztosít, hogy nagyobb terekben is látványosan érvényesüljön.
Hozza el az ünnepi varázst otthonába vagy kertjébe ezzel a sokoldalú, programozható fényfüzérrel!</t>
        </is>
      </c>
    </row>
    <row r="2372">
      <c r="A2372" s="3" t="inlineStr">
        <is>
          <t>LC 768/WH</t>
        </is>
      </c>
      <c r="B2372" s="2" t="inlineStr">
        <is>
          <t>Home LC 768/WH LED-es cluster fényfüzér 7,5 m / 768 db hidegfehér LED, fekete vezeték, 8 fényprogram, távirányító, hálózati adapter, kül- és beltéri kivitel</t>
        </is>
      </c>
      <c r="C2372" s="1" t="n">
        <v>21790.0</v>
      </c>
      <c r="D2372" s="7" t="n">
        <f>HYPERLINK("https://www.somogyi.hu/product/home-lc-768-wh-led-es-cluster-fenyfuzer-7-5-m-768-db-hidegfeher-led-fekete-vezetek-8-fenyprogram-taviranyito-halozati-adapter-kul-es-belteri-kivitel-lc-768-wh-17329","https://www.somogyi.hu/product/home-lc-768-wh-led-es-cluster-fenyfuzer-7-5-m-768-db-hidegfeher-led-fekete-vezetek-8-fenyprogram-taviranyito-halozati-adapter-kul-es-belteri-kivitel-lc-768-wh-17329")</f>
        <v>0.0</v>
      </c>
      <c r="E2372" s="7" t="n">
        <f>HYPERLINK("https://www.somogyi.hu/data/img/product_main_images/small/17329.jpg","https://www.somogyi.hu/data/img/product_main_images/small/17329.jpg")</f>
        <v>0.0</v>
      </c>
      <c r="F2372" s="2" t="inlineStr">
        <is>
          <t>5999084953515</t>
        </is>
      </c>
      <c r="G2372" s="4" t="inlineStr">
        <is>
          <t>Lépjen be az LC 768/WH LED-es cluster függöny világába, amely minden beltéri és kültéri dekorációt egyedivé varázsol!
A 768 db apró, 3 mm-es átmérőjű hidegfehér LED fénye ragyogó atmoszférát teremt, amelyet a fekete vezeték harmonikusan egészít ki. A 8 funkcióval, memóriával rendelkező üzemmód és az állítható fényerő gondoskodik a mindig tökéletes hangulatról. Válasszon a 3 kiválasztható ismétlődő időzítés közül, vagy irányítsa a fényeket a mellékelt távirányítóval, melyhez CR2025 elem is tartozik. Az IP44-es hálózati adapter garantálja a megbízható kültéri használatot.
Ne habozzon, tegye emlékezetessé az ünnepeket a LC 768/WH LED-es cluster függönyével, és varázsolja el a környezetét!</t>
        </is>
      </c>
    </row>
    <row r="2373">
      <c r="A2373" s="3" t="inlineStr">
        <is>
          <t>LEDS120DV</t>
        </is>
      </c>
      <c r="B2373" s="2" t="inlineStr">
        <is>
          <t>iSparkle LEDS120DV LED-es fényfüzér, 11,9 m / 120 db RGB LED, gömb, applikációval vezérelhető, smart, kül- és beltéri kivitel</t>
        </is>
      </c>
      <c r="C2373" s="1" t="n">
        <v>8290.0</v>
      </c>
      <c r="D2373" s="7" t="n">
        <f>HYPERLINK("https://www.somogyi.hu/product/isparkle-leds120dv-led-es-fenyfuzer-11-9-m-120-db-rgb-led-gomb-applikacioval-vezerelheto-smart-kul-es-belteri-kivitel-leds120dv-17713","https://www.somogyi.hu/product/isparkle-leds120dv-led-es-fenyfuzer-11-9-m-120-db-rgb-led-gomb-applikacioval-vezerelheto-smart-kul-es-belteri-kivitel-leds120dv-17713")</f>
        <v>0.0</v>
      </c>
      <c r="E2373" s="7" t="n">
        <f>HYPERLINK("https://www.somogyi.hu/data/img/product_main_images/small/17713.jpg","https://www.somogyi.hu/data/img/product_main_images/small/17713.jpg")</f>
        <v>0.0</v>
      </c>
      <c r="F2373" s="2" t="inlineStr">
        <is>
          <t>5999084957353</t>
        </is>
      </c>
      <c r="G2373" s="4" t="inlineStr">
        <is>
          <t>Az iSparkle LEDS120DV LED-es fényfüzér egyedülálló módon ötvözi a színek gazdagságát és a vezérlés egyszerűségét. Hangulatot teremt és modern dizájnt kínál. A fényfüzér beltéri és kültéri használatra is ideális, varázslatos hangulatot teremt minden környezetben.
A 11,9 méteren elhelyezkedő 120 darab 1,5 cm-es gömb alakú RGB LED sokszínű skálát kínál, hogy minden alkalomhoz tökéletes megjelenést varázsolhasson. 
Az iSparkle applikációval való vezérlés egyszerű. Választhat a lehetséges színek és üzemmódok közül, vagy több termékből hozhat létre csoportokat, melyeket egyetlen érintéssel irányíthat. Az intuitív applikáció segítségével az iSparkle fényeket könnyedén szabályozhatja, pillanatok alatt hangulatához igazítva. 
A kültéri IP44-es hálózati adapter garantálja a biztonságos működést. A zöld színű vezeték észrevétlenül illeszkedik környezetébe, így a figyelem a fényekre és a hangulatra irányul.
Fedezze fel az iSparkle LEDS120DV LED-es fényfűzér sokszínű világát, és teremtsen tökéletes atmoszférát otthonában vagy kertjében!</t>
        </is>
      </c>
    </row>
    <row r="2374">
      <c r="A2374" s="3" t="inlineStr">
        <is>
          <t>LEDS120CV</t>
        </is>
      </c>
      <c r="B2374" s="2" t="inlineStr">
        <is>
          <t>iSparkle LEDS120CV LED-es fényfüggöny, 1,5x2 m / 120 db RGB LED, applikációval vezérelhető, smart, kül- és beltéri kivitel</t>
        </is>
      </c>
      <c r="C2374" s="1" t="n">
        <v>8390.0</v>
      </c>
      <c r="D2374" s="7" t="n">
        <f>HYPERLINK("https://www.somogyi.hu/product/isparkle-leds120cv-led-es-fenyfuggony-1-5x2-m-120-db-rgb-led-applikacioval-vezerelheto-smart-kul-es-belteri-kivitel-leds120cv-17714","https://www.somogyi.hu/product/isparkle-leds120cv-led-es-fenyfuggony-1-5x2-m-120-db-rgb-led-applikacioval-vezerelheto-smart-kul-es-belteri-kivitel-leds120cv-17714")</f>
        <v>0.0</v>
      </c>
      <c r="E2374" s="7" t="n">
        <f>HYPERLINK("https://www.somogyi.hu/data/img/product_main_images/small/17714.jpg","https://www.somogyi.hu/data/img/product_main_images/small/17714.jpg")</f>
        <v>0.0</v>
      </c>
      <c r="F2374" s="2" t="inlineStr">
        <is>
          <t>5999084957360</t>
        </is>
      </c>
      <c r="G2374" s="4" t="inlineStr">
        <is>
          <t>Az iSparkle LEDS120CV LED-es fényfüggöny egyedülálló módon ötvözi a színek gazdagságát és a vezérlés egyszerűségét. Hangulatot teremt és modern dizájnt kínál. A fényfüzér beltéri és kültéri használatra is ideális, varázslatos hangulatot teremt minden környezetben.
A 10 füzéren elhelyezkedő 120 darab RGB LED sokszínű skálát kínál, hogy minden alkalomhoz tökéletes megjelenést varázsolhasson. 
Az iSparkle applikációval való vezérlés egyszerű. Választhat a lehetséges színek és üzemmódok közül, vagy több termékből hozhat létre csoportokat, melyeket egyetlen érintéssel irányíthat. Az intuitív applikáció segítségével az iSparkle fényeket könnyedén szabályozhatja, pillanatok alatt hangulatához igazítva. 
A kültéri IP44-es hálózati adapter garantálja a biztonságos működést. Az átlátszó színű vezeték észrevétlenül illeszkedik környezetébe, így a figyelem a fényekre és a hangulatra irányul.
Fedezze fel az iSparkle LEDS120CV LED-es fényfüggöny sokszínű világát, és teremtsen tökéletes atmoszférát otthonában vagy kertjében!</t>
        </is>
      </c>
    </row>
    <row r="2375">
      <c r="A2375" s="3" t="inlineStr">
        <is>
          <t>MLCS 600/M</t>
        </is>
      </c>
      <c r="B2375" s="2" t="inlineStr">
        <is>
          <t>Home MLCS 600/M micro LED-es cluster fényfüzér, 9 m / 600 RYBG és melegfehér LED, 11 fényprogram, távirányító, hálózati adapter, kül- és beltéri kivitel</t>
        </is>
      </c>
      <c r="C2375" s="1" t="n">
        <v>25490.0</v>
      </c>
      <c r="D2375" s="7" t="n">
        <f>HYPERLINK("https://www.somogyi.hu/product/home-mlcs-600-m-micro-led-es-cluster-fenyfuzer-9-m-600-rybg-es-melegfeher-led-11-fenyprogram-taviranyito-halozati-adapter-kul-es-belteri-kivitel-mlcs-600-m-17738","https://www.somogyi.hu/product/home-mlcs-600-m-micro-led-es-cluster-fenyfuzer-9-m-600-rybg-es-melegfeher-led-11-fenyprogram-taviranyito-halozati-adapter-kul-es-belteri-kivitel-mlcs-600-m-17738")</f>
        <v>0.0</v>
      </c>
      <c r="E2375" s="7" t="n">
        <f>HYPERLINK("https://www.somogyi.hu/data/img/product_main_images/small/17738.jpg","https://www.somogyi.hu/data/img/product_main_images/small/17738.jpg")</f>
        <v>0.0</v>
      </c>
      <c r="F2375" s="2" t="inlineStr">
        <is>
          <t>5999084957605</t>
        </is>
      </c>
      <c r="G2375" s="4" t="inlineStr">
        <is>
          <t>Ismerkedjen meg a MLCS 600/M microLED-es cluster fényfüzérrel, ami garantáltan varázslatos hangulatot teremt otthonában vagy kertjében!
Ez a kiemelkedő minőségű fényfüzér kiválóan alkalmazkodik mind beltéri, mind kültéri környezetbe. Az elegáns ezüst színű vezeték és az IP44-es kültéri adapter gondoskodik a megbízható és biztonságos működésről, még szabadban is. A 600 darab multicolor (RYBG) melegfehér LED lenyűgöző fényjátékot varázsol, mely bármilyen alkalomhoz tökéletes.
A MLCS 600/M számos funkcióval rendelkezik, beleértve a folyamatos üzemmódot és három különböző, ismétlődő időzítést. A fényerő változtatható, így minden pillanatot tökéletesen megvilágíthat. A mellékelt távirányítóval kényelmesen vezérelheti a fényfüzért, így a módok és fényerő könnyedén állíthatóak anélkül, hogy meg kellene mozdulnia.
Tegye felejthetetlenné otthonát a MLCS 600/M microLED-es cluster fényfüzér segítségével, és élvezze a ragyogó fények varázslatát minden alkalommal!</t>
        </is>
      </c>
    </row>
    <row r="2376">
      <c r="A2376" s="3" t="inlineStr">
        <is>
          <t>MLF 200/WW</t>
        </is>
      </c>
      <c r="B2376" s="2" t="inlineStr">
        <is>
          <t>Home MLF 200/WW micro LED-es fényfüggöny, 3x2 m / 200 db melegfehér micro LED, 8 fényprogram, távirányító, USB csatlakozó, beltéri kivitel</t>
        </is>
      </c>
      <c r="C2376" s="1" t="n">
        <v>7290.0</v>
      </c>
      <c r="D2376" s="7" t="n">
        <f>HYPERLINK("https://www.somogyi.hu/product/home-mlf-200-ww-micro-led-es-fenyfuggony-3x2-m-200-db-melegfeher-micro-led-8-fenyprogram-taviranyito-usb-csatlakozo-belteri-kivitel-mlf-200-ww-17720","https://www.somogyi.hu/product/home-mlf-200-ww-micro-led-es-fenyfuggony-3x2-m-200-db-melegfeher-micro-led-8-fenyprogram-taviranyito-usb-csatlakozo-belteri-kivitel-mlf-200-ww-17720")</f>
        <v>0.0</v>
      </c>
      <c r="E2376" s="7" t="n">
        <f>HYPERLINK("https://www.somogyi.hu/data/img/product_main_images/small/17720.jpg","https://www.somogyi.hu/data/img/product_main_images/small/17720.jpg")</f>
        <v>0.0</v>
      </c>
      <c r="F2376" s="2" t="inlineStr">
        <is>
          <t>5999084957421</t>
        </is>
      </c>
      <c r="G2376" s="4" t="inlineStr">
        <is>
          <t>Tegye otthonát varázslatossá a MLF 200/WW microLED-es távirányítós fényfüggönnyel! Ezzel a sokoldalú kiegészítővel otthona belső tereit még hangulatosabbá teheti.
A 10 füzér mindegyikében 20 melegfehér színhőmérsékletű LED található, így az összesen 200 db pontszerűen ragyogó microLED káprázatos látványt nyújt. A távirányítós vezérlés kényelmes lehetőséget biztosít 8 különböző fényprogram, ismétlődő időzítés és állítható fényerő használatára.
Helyezze el otthonában a csupán 3 x 2 méter terjedelmű MLF 200/WW microLED-es távirányítós fényfüggönyt, hogy otthona új fényben ragyoghasson!</t>
        </is>
      </c>
    </row>
    <row r="2377">
      <c r="A2377" s="3" t="inlineStr">
        <is>
          <t>MLF 400/WH</t>
        </is>
      </c>
      <c r="B2377" s="2" t="inlineStr">
        <is>
          <t>Home MLF 400/WH micro LED-es fényfüggöny, 2x2 m / 400 db hidegfehér micro LED, átlátszó vezeték, hálózati adapter, kül- és beltéri kivitel</t>
        </is>
      </c>
      <c r="C2377" s="1" t="n">
        <v>10190.0</v>
      </c>
      <c r="D2377" s="7" t="n">
        <f>HYPERLINK("https://www.somogyi.hu/product/home-mlf-400-wh-micro-led-es-fenyfuggony-2x2-m-400-db-hidegfeher-micro-led-atlatszo-vezetek-halozati-adapter-kul-es-belteri-kivitel-mlf-400-wh-18135","https://www.somogyi.hu/product/home-mlf-400-wh-micro-led-es-fenyfuggony-2x2-m-400-db-hidegfeher-micro-led-atlatszo-vezetek-halozati-adapter-kul-es-belteri-kivitel-mlf-400-wh-18135")</f>
        <v>0.0</v>
      </c>
      <c r="E2377" s="7" t="n">
        <f>HYPERLINK("https://www.somogyi.hu/data/img/product_main_images/small/18135.jpg","https://www.somogyi.hu/data/img/product_main_images/small/18135.jpg")</f>
        <v>0.0</v>
      </c>
      <c r="F2377" s="2" t="inlineStr">
        <is>
          <t>5999084961572</t>
        </is>
      </c>
      <c r="G2377" s="4" t="inlineStr">
        <is>
          <t>Egy lenyűgöző fényfüggönyt keres, amely kültéren és beltéren egyaránt megállja a helyét? A Home MLF 400/WH micro LED-es fényfüggöny tökéletes választás, ha szeretné otthonát vagy kertjét elegáns, hidegfehér fényekkel feldíszíteni. 
Ez a 2x2 méteres fényfüggöny 400 darab micro LED-et tartalmaz, amelyek tiszta, ragyogó fényt árasztanak, így ideális választás ünnepi dekorációhoz, esküvőkhöz, partikhoz, vagy akár mindennapi használatra. A fényfüggöny átlátszó vezetéke diszkréten simul a környezetébe, így a fények kerülnek a fókuszba, kiemelve a dekoráció szépségét. A LED-ek közötti 10 cm távolság biztosítja, hogy a fények egyenletesen oszlanak el, és egységes fényhatást érnek el a teljes 2x2 méteres felületen. A 10 cm-es füzértávolság tovább fokozza a fényelosztást, így a fényfüggöny látványos, de mégis harmonikus marad.
A termék IP44-es kültéri adapterrel működik, amely garantálja, hogy időjárásálló és biztonságosan használható legyen akár kültéren is. Az 5 méteres tápkábel pedig elegendő hosszúságot biztosít ahhoz, hogy a fényfüggönyt kényelmesen elhelyezze a kívánt helyen, akár egy ablakon, falon vagy pergolán. Ez a fényfüggöny tökéletes választás minden olyan alkalomra, ahol a stílus és elegancia találkozik a praktikus használattal. A 400 hidegfehér LED elegáns és modern megjelenést biztosít, miközben megbízható és energiatakarékos megoldásként szolgál.
Tegye különlegessé otthona vagy kertje megjelenését ezzel a gyönyörű fényfüggönnyel! Rendelje meg most, és varázsoljon ragyogó hangulatot bárhol, bármikor!</t>
        </is>
      </c>
    </row>
    <row r="2378">
      <c r="A2378" s="3" t="inlineStr">
        <is>
          <t>ML 50/WH</t>
        </is>
      </c>
      <c r="B2378" s="2" t="inlineStr">
        <is>
          <t>Home ML 50/WH micro LED-es fényfüzér, 4,9 m / 50 db hidegfehér micro LED, állófényű, kapcsolható és időzíthető, átlátszó vezeték, elemes, beltéri kivitel</t>
        </is>
      </c>
      <c r="C2378" s="1" t="n">
        <v>1350.0</v>
      </c>
      <c r="D2378" s="7" t="n">
        <f>HYPERLINK("https://www.somogyi.hu/product/home-ml-50-wh-micro-led-es-fenyfuzer-4-9-m-50-db-hidegfeher-micro-led-allofenyu-kapcsolhato-es-idozitheto-atlatszo-vezetek-elemes-belteri-kivitel-ml-50-wh-17737","https://www.somogyi.hu/product/home-ml-50-wh-micro-led-es-fenyfuzer-4-9-m-50-db-hidegfeher-micro-led-allofenyu-kapcsolhato-es-idozitheto-atlatszo-vezetek-elemes-belteri-kivitel-ml-50-wh-17737")</f>
        <v>0.0</v>
      </c>
      <c r="E2378" s="7" t="n">
        <f>HYPERLINK("https://www.somogyi.hu/data/img/product_main_images/small/17737.jpg","https://www.somogyi.hu/data/img/product_main_images/small/17737.jpg")</f>
        <v>0.0</v>
      </c>
      <c r="F2378" s="2" t="inlineStr">
        <is>
          <t>5999084957599</t>
        </is>
      </c>
      <c r="G2378" s="4" t="inlineStr">
        <is>
          <t>Akár egy romantikus vacsora, akár egy pihentető esti lazulás, a megfelelő világítás mindig kulcsfontosságú.
Az ML 50/WH pont ezt kínálja: egy beltéri fényfüzér 50 db hidegfehér micro-LED-del, amelyek mindegyike fényesen ragyogó, pontszerű fényt bocsát ki. 
A vékony, átlátszó vezeték lehetővé teszi, hogy a fényfüzért bárhová feltűnésmentesen elhelyezze. 
A be- és kikapcsolóval és az időzített ismétlés funkcióval (6 óra be-, 18 óra kikapcsolt állapot) könnyedén irányíthatja a fényeket, míg a tápellátás 3 x 1,5 V (AA) elemmel működik, amelyek nem tartoznak a csomaghoz.
Varázsoljon meghitt hangulatot otthonában az ML 50/WH fényfüzérrel, és élvezze a hidegfehér micro-LED-ek által teremtett csodálatos atmoszférát!</t>
        </is>
      </c>
    </row>
    <row r="2379">
      <c r="A2379" s="3" t="inlineStr">
        <is>
          <t>KII 200/WW</t>
        </is>
      </c>
      <c r="B2379" s="2" t="inlineStr">
        <is>
          <t>Home KII 200/WW LED-es fényfüzér, 16 m / 200 db melegfehér LED, állófényű, zöld vezeték, hálózati adapter, beltéri kivitel</t>
        </is>
      </c>
      <c r="C2379" s="1" t="n">
        <v>6690.0</v>
      </c>
      <c r="D2379" s="7" t="n">
        <f>HYPERLINK("https://www.somogyi.hu/product/home-kii-200-ww-led-es-fenyfuzer-16-m-200-db-melegfeher-led-allofenyu-zold-vezetek-halozati-adapter-belteri-kivitel-kii-200-ww-16139","https://www.somogyi.hu/product/home-kii-200-ww-led-es-fenyfuzer-16-m-200-db-melegfeher-led-allofenyu-zold-vezetek-halozati-adapter-belteri-kivitel-kii-200-ww-16139")</f>
        <v>0.0</v>
      </c>
      <c r="E2379" s="7" t="n">
        <f>HYPERLINK("https://www.somogyi.hu/data/img/product_main_images/small/16139.jpg","https://www.somogyi.hu/data/img/product_main_images/small/16139.jpg")</f>
        <v>0.0</v>
      </c>
      <c r="F2379" s="2" t="inlineStr">
        <is>
          <t>5999084941710</t>
        </is>
      </c>
      <c r="G2379" s="4" t="inlineStr">
        <is>
          <t>Meg akarja világítani belső tereit különleges, lenyűgöző módon?
A KII 200/WW pontosan erre kínál önnek lehetőséget! Egy kiváló minőségű, beltéri kivitelű világítási megoldás, melynek 200 melegfehér állófényű LED-je ragyogással tölti meg lakását. 
A zöld vezeték jól illeszkedik a karácsonyfa környezetébe, így egy diszkrét és modern vizuális élményt nyújt. 
A beltéri hálózati adapternek köszönhetően, a KII 200/WW egyszerűen és biztonságosan csatlakoztatható otthona hálózati aljzataihoz.
Lépjen be egy káprázatosan melegfehér világba a KII 200/WW-vel és hozzon létre otthonában egy lenyűgöző atmoszférát!</t>
        </is>
      </c>
    </row>
    <row r="2380">
      <c r="A2380" s="3" t="inlineStr">
        <is>
          <t>KII 100/WH</t>
        </is>
      </c>
      <c r="B2380" s="2" t="inlineStr">
        <is>
          <t>Home KII 100/WH LED-es fényfüzér, 8 m / 100 db hidegfehér LED, állófényű, zöld vezeték, hálózati adapter, beltéri kivitel</t>
        </is>
      </c>
      <c r="C2380" s="1" t="n">
        <v>4590.0</v>
      </c>
      <c r="D2380" s="7" t="n">
        <f>HYPERLINK("https://www.somogyi.hu/product/home-kii-100-wh-led-es-fenyfuzer-8-m-100-db-hidegfeher-led-allofenyu-zold-vezetek-halozati-adapter-belteri-kivitel-kii-100-wh-16131","https://www.somogyi.hu/product/home-kii-100-wh-led-es-fenyfuzer-8-m-100-db-hidegfeher-led-allofenyu-zold-vezetek-halozati-adapter-belteri-kivitel-kii-100-wh-16131")</f>
        <v>0.0</v>
      </c>
      <c r="E2380" s="7" t="n">
        <f>HYPERLINK("https://www.somogyi.hu/data/img/product_main_images/small/16131.jpg","https://www.somogyi.hu/data/img/product_main_images/small/16131.jpg")</f>
        <v>0.0</v>
      </c>
      <c r="F2380" s="2" t="inlineStr">
        <is>
          <t>5999084941635</t>
        </is>
      </c>
      <c r="G2380" s="4" t="inlineStr">
        <is>
          <t>Meg akarja világítani belső tereit különleges, lenyűgöző módon?
A KII 100/WH pontosan erre kínál önnek lehetőséget! Egy kiváló minőségű, beltéri kivitelű világítási megoldás, melynek 100 hidegfehér állófényű LED-je ragyogással tölti meg lakását. 
A zöld vezeték jól illeszkedik a karácsonyfa környezetébe, így egy diszkrét és modern vizuális élményt nyújt. 
A beltéri hálózati adapternek köszönhetően, a KII 100/WH egyszerűen és biztonságosan csatlakoztatható otthona hálózati aljzataihoz.
Lépjen be egy káprázatosan hidegfehér világba a KII 100/WH-val és hozzon létre otthonában egy lenyűgöző atmoszférát!</t>
        </is>
      </c>
    </row>
    <row r="2381">
      <c r="A2381" s="3" t="inlineStr">
        <is>
          <t>KKL 200F/WW</t>
        </is>
      </c>
      <c r="B2381" s="2" t="inlineStr">
        <is>
          <t>Home KKL 200F/WW LED-es sziporkázó fényfüzér, 20 m / 200 db sziporkázó melegfehér LED, zöld vezeték, hálózati adapter, kül- és beltéri kivitel</t>
        </is>
      </c>
      <c r="C2381" s="1" t="n">
        <v>9790.0</v>
      </c>
      <c r="D2381" s="7" t="n">
        <f>HYPERLINK("https://www.somogyi.hu/product/home-kkl-200f-ww-led-es-sziporkazo-fenyfuzer-20-m-200-db-sziporkazo-melegfeher-led-zold-vezetek-halozati-adapter-kul-es-belteri-kivitel-kkl-200f-ww-16007","https://www.somogyi.hu/product/home-kkl-200f-ww-led-es-sziporkazo-fenyfuzer-20-m-200-db-sziporkazo-melegfeher-led-zold-vezetek-halozati-adapter-kul-es-belteri-kivitel-kkl-200f-ww-16007")</f>
        <v>0.0</v>
      </c>
      <c r="E2381" s="7" t="n">
        <f>HYPERLINK("https://www.somogyi.hu/data/img/product_main_images/small/16007.jpg","https://www.somogyi.hu/data/img/product_main_images/small/16007.jpg")</f>
        <v>0.0</v>
      </c>
      <c r="F2381" s="2" t="inlineStr">
        <is>
          <t>5999084940393</t>
        </is>
      </c>
      <c r="G2381" s="4" t="inlineStr">
        <is>
          <t>Elgondolkodott már azon, hogyan tehetné otthona hangulatát még varázslatosabbá? A KKL 200F/WW fényfüzérrel megtalálta a tökéletes megoldást!
Ez a különleges fényfüzér kiváló választás mind kintre, mind bentre, melyben a melegfehér, állandóan világító LED-ek között minden tizedik melegfehér fény fel-fel villanása teszi igazán egyedivé a látványt. 
A zöld vezeték diszkréten olvad bele a karácsonyfa környezetébe, és az 5 méteres tápvezetéknek köszönhetően rugalmasan elhelyezhető. 
A megbízható tápellátásról a kültéri IP44-es hálózati adapter gondoskodik.
Változtassa át otthonát vagy kertjét egy igazi mesebeli környezetté a KKL 200F/WW fényfüzérrel!</t>
        </is>
      </c>
    </row>
    <row r="2382">
      <c r="A2382" s="3" t="inlineStr">
        <is>
          <t>ML 200/WW</t>
        </is>
      </c>
      <c r="B2382" s="2" t="inlineStr">
        <is>
          <t>Home ML 200/WW micro LED-es fényfüzérköteg, 200 db melegfehér micro LED, 10 ágú, vékony, ezüstszínű vezeték, hálózati adapter, kül- és beltéri kivitel</t>
        </is>
      </c>
      <c r="C2382" s="1" t="n">
        <v>5690.0</v>
      </c>
      <c r="D2382" s="7" t="n">
        <f>HYPERLINK("https://www.somogyi.hu/product/home-ml-200-ww-micro-led-es-fenyfuzerkoteg-200-db-melegfeher-micro-led-10-agu-vekony-ezustszinu-vezetek-halozati-adapter-kul-es-belteri-kivitel-ml-200-ww-14003","https://www.somogyi.hu/product/home-ml-200-ww-micro-led-es-fenyfuzerkoteg-200-db-melegfeher-micro-led-10-agu-vekony-ezustszinu-vezetek-halozati-adapter-kul-es-belteri-kivitel-ml-200-ww-14003")</f>
        <v>0.0</v>
      </c>
      <c r="E2382" s="7" t="n">
        <f>HYPERLINK("https://www.somogyi.hu/data/img/product_main_images/small/14003.jpg","https://www.somogyi.hu/data/img/product_main_images/small/14003.jpg")</f>
        <v>0.0</v>
      </c>
      <c r="F2382" s="2" t="inlineStr">
        <is>
          <t>5999084920555</t>
        </is>
      </c>
      <c r="G2382" s="4" t="inlineStr">
        <is>
          <t>Dekorálja otthonát az ML 200/WW micro-LED-es fényfüzérköteggel! Ezzel a kivételes fénysorral könnyedén teremthet meghitt hangulatot beltérben vagy a szabadban.
A 200 fényesen ragyogó, melegfehér színhőmérsékletű pontszerű micro-LED lehetővé teszi, hogy a fények tökéletesen passzoljanak a pillanathoz. Az ezüst színű, vékony vezeték segítségével könnyedén, szűkös helyen is rögzítheti a fénysort. Az ML 200/WW kültéri IP44-es szabványú hálózati adapterrel működik, és a 10 füzér mérete egyenként 1,9 méter.
Ne habozzon, tegyen egy lépést a meghittség felé az ML 200/WW micro-LED-es fénysorral! Fedezze fel a fények varázslatos világát, és teremtsen egyedülálló atmoszférát otthonában!</t>
        </is>
      </c>
    </row>
    <row r="2383">
      <c r="A2383" s="3" t="inlineStr">
        <is>
          <t>LED158DM</t>
        </is>
      </c>
      <c r="B2383" s="2" t="inlineStr">
        <is>
          <t>Home LED158DM DOT LED-es fényfüzér, kül- és beltéri kivitel, 150 db színes LED, 8 világítási mód, 15 m füzérhossz</t>
        </is>
      </c>
      <c r="C2383" s="1" t="n">
        <v>5990.0</v>
      </c>
      <c r="D2383" s="7" t="n">
        <f>HYPERLINK("https://www.somogyi.hu/product/home-led158dm-dot-led-es-fenyfuzer-kul-es-belteri-kivitel-150-db-szines-led-8-vilagitasi-mod-15-m-fuzerhossz-led158dm-18608","https://www.somogyi.hu/product/home-led158dm-dot-led-es-fenyfuzer-kul-es-belteri-kivitel-150-db-szines-led-8-vilagitasi-mod-15-m-fuzerhossz-led158dm-18608")</f>
        <v>0.0</v>
      </c>
      <c r="E2383" s="7" t="n">
        <f>HYPERLINK("https://www.somogyi.hu/data/img/product_main_images/small/18608.jpg","https://www.somogyi.hu/data/img/product_main_images/small/18608.jpg")</f>
        <v>0.0</v>
      </c>
      <c r="F2383" s="2" t="inlineStr">
        <is>
          <t>5999084966263</t>
        </is>
      </c>
      <c r="G2383" s="4" t="inlineStr">
        <is>
          <t>Szeretne otthonába vagy kertjébe egy gyönyörű fényfüzért, amely minden alkalomra tökéletes? Ismerje meg a Home LED158DM DOT LED-es fényfüzért, amely 150 db színes LED-del varázsol meghitt hangulatot bármilyen környezetben. 
Ez a kül- és beltéri kivitelű fényfüzér 8 különböző világítási móddal rendelkezik, amelyek memóriás funkcióval vannak ellátva, így mindig az Ön kedvenc beállításai szerint fog működni.
A fényfüzér tartozék mini kábeldobbal érkezik, ami megkönnyíti a tárolást és az elhelyezést. Az ismétlődő időzítő funkció (6h ON/18h OFF) lehetővé teszi a kényelmes és energiatakarékos használatot. A zöld vezeték diszkréten olvad bele a növényzetbe vagy a karácsonyfába, így csak a fények ragyogása kerül előtérbe.
A 15 méter hosszú füzér és a 3 méteres tápvezeték elegendő rugalmasságot biztosít a tökéletes elhelyezéshez. A LED-ek közötti 10 cm-es távolság egyenletes fényeloszlást garantál. A fényfüzér tápellátásáról kültéri IP44 hálózati adapter gondoskodik, amely biztonságos és megbízható működést nyújt.
Ne hagyja ki ezt a sokoldalú és látványos fényfüzért! Rendelje meg a Home LED158DM DOT LED-es fényfüzért még ma, és varázsoljon ünnepi hangulatot otthonába vagy kertjébe!</t>
        </is>
      </c>
    </row>
    <row r="2384">
      <c r="A2384" s="3" t="inlineStr">
        <is>
          <t>LED508DWH</t>
        </is>
      </c>
      <c r="B2384" s="2" t="inlineStr">
        <is>
          <t>Home LED508DWH DOT LED-es fényfüzér, kül- és beltéri kivitel, 500 db hidegfehér LED, 8 világítási mód, 50 m füzérhossz</t>
        </is>
      </c>
      <c r="C2384" s="1" t="n">
        <v>15290.0</v>
      </c>
      <c r="D2384" s="7" t="n">
        <f>HYPERLINK("https://www.somogyi.hu/product/home-led508dwh-dot-led-es-fenyfuzer-kul-es-belteri-kivitel-500-db-hidegfeher-led-8-vilagitasi-mod-50-m-fuzerhossz-led508dwh-18613","https://www.somogyi.hu/product/home-led508dwh-dot-led-es-fenyfuzer-kul-es-belteri-kivitel-500-db-hidegfeher-led-8-vilagitasi-mod-50-m-fuzerhossz-led508dwh-18613")</f>
        <v>0.0</v>
      </c>
      <c r="E2384" s="7" t="n">
        <f>HYPERLINK("https://www.somogyi.hu/data/img/product_main_images/small/18613.jpg","https://www.somogyi.hu/data/img/product_main_images/small/18613.jpg")</f>
        <v>0.0</v>
      </c>
      <c r="F2384" s="2" t="inlineStr">
        <is>
          <t>5999084966317</t>
        </is>
      </c>
      <c r="G2384" s="4" t="inlineStr">
        <is>
          <t>Szeretne egy dekorációt, amely otthonát és kertjét is mesebeli fényárba borítja? A Home LED508DWH DOT LED-es fényfüzér ideális választás, ha hangulatos és varázslatos fényeket szeretne varázsolni, akár bel-, akár kültéren. 
Az 500 db hidegfehér LED kellemes, lágy fényt áraszt, amely tökéletesen illik ünnepi dekorációkhoz vagy akár romantikus esti hangulat megteremtéséhez. A 8 különböző világítási mód közül választhat, hogy mindig az alkalomhoz illő fényhatást biztosítsa. A memória funkció lehetővé teszi, hogy a fényfüzér megjegyezze az utoljára használt beállítást, így Önnek nem kell minden alkalommal újra beállítani. A fényfüzér tartozéka egy mini kábeldob, amely praktikus tárolást biztosít, és egyszerűvé teszi a felhelyezést. 
Az ismétlődő időzítés funkció (6 óra világítás, 18 óra kikapcsolt állapot) lehetőséget ad arra, hogy automatikusan működjön, anélkül, hogy Önnek bármit is tennie kellene. A zöld vezeték természetes megjelenést biztosít, könnyen beleolvad a környezetbe, így a figyelem kizárólag a csodálatos fényekre irányul. A 50 méter hosszú fényfüzér és a 10 cm-es LED-távolság elegendő teret biztosít, hogy nagyobb felületeket, kerítéseket vagy fenyőfákat is feldíszítsen. A kültéri IP44 hálózati adapter pedig garantálja a biztonságos használatot kültéren is, esőben vagy havazásban.
Tegye különlegessé otthonát vagy kertjét a Home LED508DWH DOT LED-es fényfüzérrel, és élvezze a varázslatos fényeket minden nap!</t>
        </is>
      </c>
    </row>
    <row r="2385">
      <c r="A2385" s="6" t="inlineStr">
        <is>
          <t xml:space="preserve">   Dekorációs világítás / Fényfüzér dekorációval</t>
        </is>
      </c>
      <c r="B2385" s="6" t="inlineStr">
        <is>
          <t/>
        </is>
      </c>
      <c r="C2385" s="6" t="inlineStr">
        <is>
          <t/>
        </is>
      </c>
      <c r="D2385" s="6" t="inlineStr">
        <is>
          <t/>
        </is>
      </c>
      <c r="E2385" s="6" t="inlineStr">
        <is>
          <t/>
        </is>
      </c>
      <c r="F2385" s="6" t="inlineStr">
        <is>
          <t/>
        </is>
      </c>
      <c r="G2385" s="6" t="inlineStr">
        <is>
          <t/>
        </is>
      </c>
    </row>
    <row r="2386">
      <c r="A2386" s="3" t="inlineStr">
        <is>
          <t>G 10201</t>
        </is>
      </c>
      <c r="B2386" s="2" t="inlineStr">
        <is>
          <t>Home G 10201 LED-es jégcsap fényfüzér, 3,33x0,21 m / 200 db hidegfehér LED, 10 db jégcsap, átlátszó vezeték, fényjáték, hálózati adapter, kül- és beltéri kivitel</t>
        </is>
      </c>
      <c r="C2386" s="1" t="n">
        <v>20790.0</v>
      </c>
      <c r="D2386" s="7" t="n">
        <f>HYPERLINK("https://www.somogyi.hu/product/home-g-10201-led-es-jegcsap-fenyfuzer-3-33x0-21-m-200-db-hidegfeher-led-10-db-jegcsap-atlatszo-vezetek-fenyjatek-halozati-adapter-kul-es-belteri-kivitel-g-10201-17862","https://www.somogyi.hu/product/home-g-10201-led-es-jegcsap-fenyfuzer-3-33x0-21-m-200-db-hidegfeher-led-10-db-jegcsap-atlatszo-vezetek-fenyjatek-halozati-adapter-kul-es-belteri-kivitel-g-10201-17862")</f>
        <v>0.0</v>
      </c>
      <c r="E2386" s="7" t="n">
        <f>HYPERLINK("https://www.somogyi.hu/data/img/product_main_images/small/17862.jpg","https://www.somogyi.hu/data/img/product_main_images/small/17862.jpg")</f>
        <v>0.0</v>
      </c>
      <c r="F2386" s="2" t="inlineStr">
        <is>
          <t>5999084958848</t>
        </is>
      </c>
      <c r="G2386" s="4" t="inlineStr">
        <is>
          <t>Szeretné, ha kertje vagy terasza varázslatos jégcsap fényekben tündökölne az ünnepek alatt? A Home G 10201 LED-es jégcsap fényfüzér tökéletes választás kültéri dekorációhoz, hogy meghitt és ünnepi hangulatot teremtsen. 
Ez a lenyűgöző fényfüzér 200 hidegfehér LED-del rendelkezik, amelyek a 20 cm-es jégcsap-dekorációkon jégcsap olvadást imitáló fényjátékot nyújtanak. Ez a különleges fényhatás még varázslatosabbá teszi az ünnepi díszítést, elkápráztatva mindazokat, akik látják.
A fényfüzér teljes hossza 3,6 méter, így ideális választás hosszabb felületek, például ereszcsatornák, kerítések vagy teraszok díszítésére. A 4 méteres tápvezeték és a 230 V~/7 V adapter biztosítják a könnyű és biztonságos csatlakoztatást, még akkor is, ha a csatlakozó aljzat távolabb van. Az IP44-es védettségű adapter garantálja a biztonságos használatot a kültéri környezetben is.
Hozza el a jégcsapok varázsát otthonába vagy kertjébe a Home G 10201 LED-es jégcsap fényfüzérrel! Rendelje meg most, és élvezze a csillogó ünnepi hangulatot minden nap!</t>
        </is>
      </c>
    </row>
    <row r="2387">
      <c r="A2387" s="3" t="inlineStr">
        <is>
          <t>KJL 50C</t>
        </is>
      </c>
      <c r="B2387" s="2" t="inlineStr">
        <is>
          <t>Home KJL 50C LED-es jégcsap fényfüzér, 7,3x0,25 m / 50 db hidegfehér LED, 50 db jégcsap, fehér vezeték, állófényű, hálózati adapter, kül- és beltéri kivitel</t>
        </is>
      </c>
      <c r="C2387" s="1" t="n">
        <v>14490.0</v>
      </c>
      <c r="D2387" s="7" t="n">
        <f>HYPERLINK("https://www.somogyi.hu/product/home-kjl-50c-led-es-jegcsap-fenyfuzer-7-3x0-25-m-50-db-hidegfeher-led-50-db-jegcsap-feher-vezetek-allofenyu-halozati-adapter-kul-es-belteri-kivitel-kjl-50c-15475","https://www.somogyi.hu/product/home-kjl-50c-led-es-jegcsap-fenyfuzer-7-3x0-25-m-50-db-hidegfeher-led-50-db-jegcsap-feher-vezetek-allofenyu-halozati-adapter-kul-es-belteri-kivitel-kjl-50c-15475")</f>
        <v>0.0</v>
      </c>
      <c r="E2387" s="7" t="n">
        <f>HYPERLINK("https://www.somogyi.hu/data/img/product_main_images/small/15475.jpg","https://www.somogyi.hu/data/img/product_main_images/small/15475.jpg")</f>
        <v>0.0</v>
      </c>
      <c r="F2387" s="2" t="inlineStr">
        <is>
          <t>5999084935092</t>
        </is>
      </c>
      <c r="G2387" s="4" t="inlineStr">
        <is>
          <t>Gondolkodott már azon, hogyan varázsolhatná otthonát igazi téli csodaországgá? A Home KJL 50C LED-es jégcsap fényfüzér hidegfehér fényei és 15 cm-es jégcsap-dekorációi tökéletesen visszaadják a tél varázsát. 
A 7,3 méter hosszú füzéren egyenletesen elosztott 50 LED fényforrás gondoskodik az ünnepi hangulatról, akár beltérben, akár kültéren szeretné használni. A jégcsapok természetes, elegáns megjelenést kölcsönöznek minden környezetnek, így ideális választás lehet teraszra, erkélyre vagy nappaliba is. A fényfüzér működését egy 230 V-os hálózati adapter biztosítja, amely megbízható teljesítményt nyújt még kedvezőtlen időjárási körülmények között is. A 5 méteres tápvezeték rugalmasságot kínál, így könnyedén megtalálja a fényfüzér ideális helyét.
Hozza létre saját téli mesevilágát ezzel a stílusos és praktikus fényfüzérrel – rendelje meg még ma, és tegye varázslatossá környezetét!</t>
        </is>
      </c>
    </row>
    <row r="2388">
      <c r="A2388" s="3" t="inlineStr">
        <is>
          <t>KII 200B/WW</t>
        </is>
      </c>
      <c r="B2388" s="2" t="inlineStr">
        <is>
          <t>Home KII 200B/WW LED-es gömb fényfüzér, 16 m / 200 db melegfehér LED, állófényű, zöld vezeték, hálózati adapter, beltéri kivitel</t>
        </is>
      </c>
      <c r="C2388" s="1" t="n">
        <v>11890.0</v>
      </c>
      <c r="D2388" s="7" t="n">
        <f>HYPERLINK("https://www.somogyi.hu/product/home-kii-200b-ww-led-es-gomb-fenyfuzer-16-m-200-db-melegfeher-led-allofenyu-zold-vezetek-halozati-adapter-belteri-kivitel-kii-200b-ww-16145","https://www.somogyi.hu/product/home-kii-200b-ww-led-es-gomb-fenyfuzer-16-m-200-db-melegfeher-led-allofenyu-zold-vezetek-halozati-adapter-belteri-kivitel-kii-200b-ww-16145")</f>
        <v>0.0</v>
      </c>
      <c r="E2388" s="7" t="n">
        <f>HYPERLINK("https://www.somogyi.hu/data/img/product_main_images/small/16145.jpg","https://www.somogyi.hu/data/img/product_main_images/small/16145.jpg")</f>
        <v>0.0</v>
      </c>
      <c r="F2388" s="2" t="inlineStr">
        <is>
          <t>5999084941772</t>
        </is>
      </c>
      <c r="G2388" s="4" t="inlineStr">
        <is>
          <t>Olyan ünnepi beltéri világítási megoldást keres, amely nem csak praktikus, de esztétikailag is lenyűgöző?
A KII 200B/WW pontosan ilyen: egy beltéri kivitelű, állófényű fényfüzér, melyben 200 melegfehér LED gyönyörködteti szemét. 
Minden egyes LED-et egy 1,5 cm-es opál gömb dekoráció vesz körül, ami a színeknek finom, fátyolszerű ragyogást kölcsönöz. 
A zöld vezeték diszkréten illeszkedik karácsonyfája környezetébe, míg a beltéri hálózati adapter garantálja a könnyű és biztonságos csatlakoztatást otthonában.
Fedezze fel a KII 200B/WW varázslatos világát és tegye otthonát még hangulatosabbá!</t>
        </is>
      </c>
    </row>
    <row r="2389">
      <c r="A2389" s="3" t="inlineStr">
        <is>
          <t>KLW 20 H</t>
        </is>
      </c>
      <c r="B2389" s="2" t="inlineStr">
        <is>
          <t>LED-es fényfüzér, házikó</t>
        </is>
      </c>
      <c r="C2389" s="1" t="n">
        <v>3990.0</v>
      </c>
      <c r="D2389" s="7" t="n">
        <f>HYPERLINK("https://www.somogyi.hu/product/led-es-fenyfuzer-haziko-klw-20-h-16505","https://www.somogyi.hu/product/led-es-fenyfuzer-haziko-klw-20-h-16505")</f>
        <v>0.0</v>
      </c>
      <c r="E2389" s="7" t="n">
        <f>HYPERLINK("https://www.somogyi.hu/data/img/product_main_images/small/16505.jpg","https://www.somogyi.hu/data/img/product_main_images/small/16505.jpg")</f>
        <v>0.0</v>
      </c>
      <c r="F2389" s="2" t="inlineStr">
        <is>
          <t>5999084945374</t>
        </is>
      </c>
      <c r="G2389" s="4" t="inlineStr">
        <is>
          <t>LED-es házikó fényfüzér – ha idén valami igazán egyedire vágyik!</t>
        </is>
      </c>
    </row>
    <row r="2390">
      <c r="A2390" s="3" t="inlineStr">
        <is>
          <t>KIB 48C/M</t>
        </is>
      </c>
      <c r="B2390" s="2" t="inlineStr">
        <is>
          <t>Home KIB 48C/M LED-es EVA gömb fényfüzér beltéri kivitel, 40 db színes LED, 8 programos, füzér hossza 6 m</t>
        </is>
      </c>
      <c r="C2390" s="1" t="n">
        <v>5990.0</v>
      </c>
      <c r="D2390" s="7" t="n">
        <f>HYPERLINK("https://www.somogyi.hu/product/home-kib-48c-m-led-es-eva-gomb-fenyfuzer-belteri-kivitel-40-db-szines-led-8-programos-fuzer-hossza-6-m-kib-48c-m-15575","https://www.somogyi.hu/product/home-kib-48c-m-led-es-eva-gomb-fenyfuzer-belteri-kivitel-40-db-szines-led-8-programos-fuzer-hossza-6-m-kib-48c-m-15575")</f>
        <v>0.0</v>
      </c>
      <c r="E2390" s="7" t="n">
        <f>HYPERLINK("https://www.somogyi.hu/data/img/product_main_images/small/15575.jpg","https://www.somogyi.hu/data/img/product_main_images/small/15575.jpg")</f>
        <v>0.0</v>
      </c>
      <c r="F2390" s="2" t="inlineStr">
        <is>
          <t>5999084936099</t>
        </is>
      </c>
      <c r="G2390" s="4" t="inlineStr">
        <is>
          <t>Szeretné, ha ünnepi dekorációja igazi színes fényárban ragyogna? A Home KIB 48C/M LED-es EVA gömb fényfüzér tökéletes választás bármely beltéri karácsonyi dekorációhoz! 
A 40 darab színes LED (piros, kék, sárga, zöld) dinamikus, ünnepi hangulatot teremt, miközben a 3 cm-es fehér EVA gömbök elegáns megjelenést kölcsönöznek a füzérnek. A 8 programos, memóriás funkciónak köszönhetően különféle fényhatások közül választhat, hogy otthona fényjátéka pontosan olyan legyen, amilyennek elképzelte. A füzér 6 méteres hosszával ideális megoldás lehet karácsonyfák, ablakok, ajtókeretek vagy bármely beltéri dekoráció díszítésére. A tápvezeték 5 méteres hosszúsága biztosítja a kényelmes elhelyezést. A tápellátás 230 V~/24 V adapterrel történik, amely stabil működést biztosít, így garantálva a megbízható fényhatást az ünnepi időszak alatt.
Díszítse otthonát ezzel a színes, programozható LED-es fényfüzér, és varázsoljon igazi ünnepi hangulatot otthonába!</t>
        </is>
      </c>
    </row>
    <row r="2391">
      <c r="A2391" s="3" t="inlineStr">
        <is>
          <t>ML 21/WW</t>
        </is>
      </c>
      <c r="B2391" s="2" t="inlineStr">
        <is>
          <t>Home ML 21/WW micro LED-es kristály fényfüzér, 1,9 m / 20 db melegfehér LED, állófényű, átlátszó vezeték, elemes, beltéri kivitel</t>
        </is>
      </c>
      <c r="C2391" s="1" t="n">
        <v>1690.0</v>
      </c>
      <c r="D2391" s="7" t="n">
        <f>HYPERLINK("https://www.somogyi.hu/product/home-ml-21-ww-micro-led-es-kristaly-fenyfuzer-1-9-m-20-db-melegfeher-led-allofenyu-atlatszo-vezetek-elemes-belteri-kivitel-ml-21-ww-16026","https://www.somogyi.hu/product/home-ml-21-ww-micro-led-es-kristaly-fenyfuzer-1-9-m-20-db-melegfeher-led-allofenyu-atlatszo-vezetek-elemes-belteri-kivitel-ml-21-ww-16026")</f>
        <v>0.0</v>
      </c>
      <c r="E2391" s="7" t="n">
        <f>HYPERLINK("https://www.somogyi.hu/data/img/product_main_images/small/16026.jpg","https://www.somogyi.hu/data/img/product_main_images/small/16026.jpg")</f>
        <v>0.0</v>
      </c>
      <c r="F2391" s="2" t="inlineStr">
        <is>
          <t>5999084940584</t>
        </is>
      </c>
      <c r="G2391" s="4" t="inlineStr">
        <is>
          <t>Hogyan teheti otthonát vagy karácsonyfáját igazán elegánssá és varázslatossá az ünnepi szezon alatt? A Home ML 21/WW micro LED-es kristály fényfüzér a tökéletes választás, ha egy kifinomult, mégis meghitt hangulatot szeretne teremteni otthonában. 
Ez a beltéri fényfüzér 1,9 méteres hosszúságával és 20 db melegfehér LED-jével kellemes, lágy fényt biztosít, amely bármilyen szobát azonnal ünnepi hangulatba öltöztet. Az akril kristály dekorációk elegánsan tükrözik a fényeket, így csillogó és varázslatos látványt nyújtanak, akár egy polcon, akár egy karácsonyfán, vagy éppen egy ablakpárkányon helyezi el a fényfüzért. Az átlátszó vezeték diszkrét megjelenést kölcsönöz, így a figyelem teljes mértékben a melegfehér fények ragyogására és a kristálydíszek szépségére irányul. 
A fényfüzér könnyen kezelhető: egy kapcsolóval egyszerűen be- és kikapcsolható, így bármikor gyorsan létrehozhatja a kívánt hangulatot. Az elemes működésnek köszönhetően (2 x 1,5 V AA elem, nem tartozék) nincs szükség konnektorra, így szabadon elhelyezheti a fényfüzért bárhol a lakásban, ahol csak szeretné. A Home ML 21/WW micro LED-es kristály fényfüzér tökéletes választás azoknak, akik szeretik az elegáns, finom dekorációkat, de nem szeretnék túldíszíteni otthonukat. Az energiatakarékos LED-ek hosszú élettartamot biztosítanak, így nem kell aggódnia az izzók gyors cseréje miatt.
Teremtse meg a tökéletes ünnepi hangulatot ezzel a varázslatos fényfüzérrel! Rendelje meg a Home ML 21/WW micro LED-es kristály fényfüzért, és adjon elegáns, meleg ragyogást otthonának!</t>
        </is>
      </c>
    </row>
    <row r="2392">
      <c r="A2392" s="3" t="inlineStr">
        <is>
          <t>MLF 26/WH</t>
        </is>
      </c>
      <c r="B2392" s="2" t="inlineStr">
        <is>
          <t>Home MLF 26/WH micro LED-es fényfüzér, 2 m / 20 db hidegfehér micro LED, állófényű, átlátszó vezeték, időzíthető, gombelemes, lapos elemtartó, beltéri kivitel</t>
        </is>
      </c>
      <c r="C2392" s="1" t="n">
        <v>979.0</v>
      </c>
      <c r="D2392" s="7" t="n">
        <f>HYPERLINK("https://www.somogyi.hu/product/home-mlf-26-wh-micro-led-es-fenyfuzer-2-m-20-db-hidegfeher-micro-led-allofenyu-atlatszo-vezetek-idozitheto-gombelemes-lapos-elemtarto-belteri-kivitel-mlf-26-wh-18136","https://www.somogyi.hu/product/home-mlf-26-wh-micro-led-es-fenyfuzer-2-m-20-db-hidegfeher-micro-led-allofenyu-atlatszo-vezetek-idozitheto-gombelemes-lapos-elemtarto-belteri-kivitel-mlf-26-wh-18136")</f>
        <v>0.0</v>
      </c>
      <c r="E2392" s="7" t="n">
        <f>HYPERLINK("https://www.somogyi.hu/data/img/product_main_images/small/18136.jpg","https://www.somogyi.hu/data/img/product_main_images/small/18136.jpg")</f>
        <v>0.0</v>
      </c>
      <c r="F2392" s="2" t="inlineStr">
        <is>
          <t>5999084961589</t>
        </is>
      </c>
      <c r="G2392" s="4" t="inlineStr">
        <is>
          <t>Szeretne egy diszkrét, mégis stílusos fényforrást, amely otthona bármely pontját feldobja? A Home MLF 26/WH micro LED-es fényfüzér ideális megoldás, ha finom, elegáns fényeket szeretne hozzáadni beltéri dekorációjához. 
Ez a 2 méter hosszú fényfüzér 20 darab hidegfehér micro LED-et tartalmaz, amelyek kristálytiszta, állófényű ragyogást biztosítanak, tökéletesen illeszkedve modern enteriőrökhöz. A fényfüzér diszkrét, átlátszó vezetékének köszönhetően szinte láthatatlanul olvad a háttérbe, így csak a fények kerülnek a középpontba. Az ON/OFF/TIMER funkció lehetővé teszi a kényelmes időzítést: 6 órán keresztül világít, majd 18 órán át kikapcsol, így energiatakarékosan működik és automatikusan ismétlődik nap mint nap, anélkül, hogy Önnek külön beavatkozásra lenne szüksége. A pici, lapos elemtartó diszkréten helyezhető el, nem zavarva a dekoráció összképét.
A fényfüzér gombelemes tápellátással működik, 2 darab CR2032-es elem tartozik hozzá, így azonnal használatra kész. A LED-ek közötti 10 cm távolság optimális fényelosztást biztosít, hogy minden egyes pontszerű LED fénye kiemelkedően érvényesüljön. Ez a fényfüzér tökéletes választás minden olyan beltéri dekorációhoz, ahol a kifinomult, elegáns hangulatvilágítás a cél. A hidegfehér fények letisztult, modern megjelenést kölcsönöznek a térnek, legyen szó ünnepi dekorációról, egy romantikus vacsoráról vagy egyszerűen csak egy hétköznapi hangulatfényről.
Varázsoljon különleges fényhatásokat otthonába ezzel a praktikus és esztétikus fényfüzérrel! Rendelje meg most, és élvezze a hidegfehér fények tisztaságát nap mint nap!</t>
        </is>
      </c>
    </row>
    <row r="2393">
      <c r="A2393" s="3" t="inlineStr">
        <is>
          <t>MLD 20/WW</t>
        </is>
      </c>
      <c r="B2393" s="2" t="inlineStr">
        <is>
          <t>Home MLD 20/WW micro LED-es fényfüzér, 2 m / 20 db melegfehér micro LED, állófényű, átlátszó vezeték, gombelemes, dugó alakú elemtartó, beltéri kivitel</t>
        </is>
      </c>
      <c r="C2393" s="1" t="n">
        <v>1050.0</v>
      </c>
      <c r="D2393" s="7" t="n">
        <f>HYPERLINK("https://www.somogyi.hu/product/home-mld-20-ww-micro-led-es-fenyfuzer-2-m-20-db-melegfeher-micro-led-allofenyu-atlatszo-vezetek-gombelemes-dugo-alaku-elemtarto-belteri-kivitel-mld-20-ww-16515","https://www.somogyi.hu/product/home-mld-20-ww-micro-led-es-fenyfuzer-2-m-20-db-melegfeher-micro-led-allofenyu-atlatszo-vezetek-gombelemes-dugo-alaku-elemtarto-belteri-kivitel-mld-20-ww-16515")</f>
        <v>0.0</v>
      </c>
      <c r="E2393" s="7" t="n">
        <f>HYPERLINK("https://www.somogyi.hu/data/img/product_main_images/small/16515.jpg","https://www.somogyi.hu/data/img/product_main_images/small/16515.jpg")</f>
        <v>0.0</v>
      </c>
      <c r="F2393" s="2" t="inlineStr">
        <is>
          <t>5999084945473</t>
        </is>
      </c>
      <c r="G2393" s="4" t="inlineStr">
        <is>
          <t>Egy hangulatos, diszkrét fényfüzérre vágyik, amely tökéletesen illeszkedik beltéri dekorációjához? A Home MLD 20/WW micro LED-es fényfüzér ideális választás, ha finom, mégis melegfehér fényekkel szeretné feldobni otthonát. 
Ez a 2 méter hosszú fényfüzér 20 darab apró, pontszerű micro LED-del van ellátva, amelyek melegfehér fényt bocsátanak ki, miközben a vékony, átlátszó vezeték szinte észrevétlenül olvad a környezetbe, így a fényhatás kerül a középpontba. A fényfüzér állófényű, tehát folyamatos, nyugodt fényt biztosít, amely kiválóan alkalmas kisebb helyek dekorálására, mint például polcok, tükrök vagy asztali díszek. A be/ki kapcsolóval könnyen kezelhető, így egyszerűen vezérelhető, amikor szükséges. A termék 2 db 1,5 V-os (LR44) gombelemmel működik, amelyek tartozékok, így a telepítés után azonnal használatba vehető.
Ez a fényfüzér beltéri kivitelű, tehát kifejezetten belső terek dekorálására lett tervezve, legyen szó ünnepi időszakokról, különleges alkalmakról vagy mindennapi hangulatvilágításról. A kompakt, mégis elegáns kialakításnak köszönhetően szinte bármilyen dekorációhoz illik, és meleg, barátságos atmoszférát teremt.
Teremtsen különleges, melegfehér fényeket otthonában ezzel a praktikus, mégis stílusos micro LED-es fényfüzérrel! Rendelje meg most, és adjon új fényt otthona bármelyik sarkának!</t>
        </is>
      </c>
    </row>
    <row r="2394">
      <c r="A2394" s="3" t="inlineStr">
        <is>
          <t>MLF 26/WW</t>
        </is>
      </c>
      <c r="B2394" s="2" t="inlineStr">
        <is>
          <t>Home MLF 26/WW micro LED-es fényfüzér, 2 m / 20 db melegfehér micro LED, állófényű, átlátszó vezeték, időzíthető, gombelemes, lapos elemtartó, beltéri kivitel</t>
        </is>
      </c>
      <c r="C2394" s="1" t="n">
        <v>979.0</v>
      </c>
      <c r="D2394" s="7" t="n">
        <f>HYPERLINK("https://www.somogyi.hu/product/home-mlf-26-ww-micro-led-es-fenyfuzer-2-m-20-db-melegfeher-micro-led-allofenyu-atlatszo-vezetek-idozitheto-gombelemes-lapos-elemtarto-belteri-kivitel-mlf-26-ww-18137","https://www.somogyi.hu/product/home-mlf-26-ww-micro-led-es-fenyfuzer-2-m-20-db-melegfeher-micro-led-allofenyu-atlatszo-vezetek-idozitheto-gombelemes-lapos-elemtarto-belteri-kivitel-mlf-26-ww-18137")</f>
        <v>0.0</v>
      </c>
      <c r="E2394" s="7" t="n">
        <f>HYPERLINK("https://www.somogyi.hu/data/img/product_main_images/small/18137.jpg","https://www.somogyi.hu/data/img/product_main_images/small/18137.jpg")</f>
        <v>0.0</v>
      </c>
      <c r="F2394" s="2" t="inlineStr">
        <is>
          <t>5999084961596</t>
        </is>
      </c>
      <c r="G2394" s="4" t="inlineStr">
        <is>
          <t>Szeretne egy diszkrét, mégis stílusos fényforrást, amely otthona bármely pontját feldobja? A Home MLF 26/WW micro LED-es fényfüzér ideális megoldás, ha finom, elegáns fényeket szeretne hozzáadni beltéri dekorációjához. 
Ez a 2 méter hosszú fényfüzér 20 darab melegfehér micro LED-et tartalmaz, amelyek kristálytiszta, állófényű ragyogást biztosítanak, tökéletesen illeszkedve modern enteriőrökhöz. A fényfüzér diszkrét, átlátszó vezetékének köszönhetően szinte láthatatlanul olvad a háttérbe, így csak a fények kerülnek a középpontba. Az ON/OFF/TIMER funkció lehetővé teszi a kényelmes időzítést: 6 órán keresztül világít, majd 18 órán át kikapcsol, így energiatakarékosan működik és automatikusan ismétlődik nap mint nap, anélkül, hogy Önnek külön beavatkozásra lenne szüksége. A pici, lapos elemtartó diszkréten helyezhető el, nem zavarva a dekoráció összképét.
A fényfüzér gombelemes tápellátással működik, 2 darab CR2032-es elem tartozik hozzá, így azonnal használatra kész. A LED-ek közötti 10 cm távolság optimális fényelosztást biztosít, hogy minden egyes pontszerű LED fénye kiemelkedően érvényesüljön. Ez a fényfüzér tökéletes választás minden olyan beltéri dekorációhoz, ahol a kifinomult, elegáns hangulatvilágítás a cél. A melegfehér fények letisztult, modern megjelenést kölcsönöznek a térnek, legyen szó ünnepi dekorációról, egy romantikus vacsoráról vagy egyszerűen csak egy hétköznapi hangulatfényről.
Varázsoljon különleges fényhatásokat otthonába ezzel a praktikus és esztétikus fényfüzérrel! Rendelje meg most, és élvezze a melegfehér fények tisztaságát nap mint nap!</t>
        </is>
      </c>
    </row>
    <row r="2395">
      <c r="A2395" s="3" t="inlineStr">
        <is>
          <t>KBC 50</t>
        </is>
      </c>
      <c r="B2395" s="2" t="inlineStr">
        <is>
          <t>Home KBC 50 LED-es gömb fényfüzér, 4,9 m / 50 db színváltó LED, opál gömb dekoráció, fekete vezeték, hálózati adapter, kül- beltéri kivitel</t>
        </is>
      </c>
      <c r="C2395" s="1" t="n">
        <v>9490.0</v>
      </c>
      <c r="D2395" s="7" t="n">
        <f>HYPERLINK("https://www.somogyi.hu/product/home-kbc-50-led-es-gomb-fenyfuzer-4-9-m-50-db-szinvalto-led-opal-gomb-dekoracio-fekete-vezetek-halozati-adapter-kul-belteri-kivitel-kbc-50-15647","https://www.somogyi.hu/product/home-kbc-50-led-es-gomb-fenyfuzer-4-9-m-50-db-szinvalto-led-opal-gomb-dekoracio-fekete-vezetek-halozati-adapter-kul-belteri-kivitel-kbc-50-15647")</f>
        <v>0.0</v>
      </c>
      <c r="E2395" s="7" t="n">
        <f>HYPERLINK("https://www.somogyi.hu/data/img/product_main_images/small/15647.jpg","https://www.somogyi.hu/data/img/product_main_images/small/15647.jpg")</f>
        <v>0.0</v>
      </c>
      <c r="F2395" s="2" t="inlineStr">
        <is>
          <t>5999084936815</t>
        </is>
      </c>
      <c r="G2395" s="4" t="inlineStr">
        <is>
          <t>Szeretne egyedi és dinamikus világítási élményt teremteni otthonában vagy a kertjében?
A KBC 50 pont ezt nyújtja Önnek! Ez a kül- és beltéri kivitelű fényfüzér 50 darab, egymástól függetlenül színváltó LED-del rendelkezik, amelyek mind opál gömb dekorációkban helyezkednek el. 
Az 5 méteres fekete vezeték gondoskodik arról, hogy a fényfüzér könnyedén elérjen a kívánt telepítési helyre, míg a kültéri IP44 hálózati adapter garantálja a biztonságos és stabil tápellátást.
Változtassa meg otthona vagy kertje hangulatát a KBC 50 fényfüzérrel, és élvezze a lenyűgöző színváltó LED-ek által teremtett varázslatos atmoszférát!</t>
        </is>
      </c>
    </row>
    <row r="2396">
      <c r="A2396" s="3" t="inlineStr">
        <is>
          <t>MLD 20/M</t>
        </is>
      </c>
      <c r="B2396" s="2" t="inlineStr">
        <is>
          <t>Home MLD 20/M micro LED-es fényfüzér, 2 m / 20 db színes micro LED, állófényű, átlátszó vezeték, gombelemes, beltéri kivitel</t>
        </is>
      </c>
      <c r="C2396" s="1" t="n">
        <v>839.0</v>
      </c>
      <c r="D2396" s="7" t="n">
        <f>HYPERLINK("https://www.somogyi.hu/product/home-mld-20-m-micro-led-es-fenyfuzer-2-m-20-db-szines-micro-led-allofenyu-atlatszo-vezetek-gombelemes-belteri-kivitel-mld-20-m-16514","https://www.somogyi.hu/product/home-mld-20-m-micro-led-es-fenyfuzer-2-m-20-db-szines-micro-led-allofenyu-atlatszo-vezetek-gombelemes-belteri-kivitel-mld-20-m-16514")</f>
        <v>0.0</v>
      </c>
      <c r="E2396" s="7" t="n">
        <f>HYPERLINK("https://www.somogyi.hu/data/img/product_main_images/small/16514.jpg","https://www.somogyi.hu/data/img/product_main_images/small/16514.jpg")</f>
        <v>0.0</v>
      </c>
      <c r="F2396" s="2" t="inlineStr">
        <is>
          <t>5999084945466</t>
        </is>
      </c>
      <c r="G2396" s="4" t="inlineStr">
        <is>
          <t>Egy hangulatos, diszkrét fényfüzérre vágyik, amely tökéletesen illeszkedik beltéri dekorációjához? A Home MLD 20/M micro LED-es fényfüzér ideális választás, ha finom, mégis színes fényekkel szeretné feldobni otthonát. 
Ez a 2 méter hosszú fényfüzér 20 darab apró, pontszerű micro LED-del van ellátva, amelyek ragyogó színes fényt bocsátanak ki, miközben a vékony, átlátszó vezeték szinte észrevétlenül olvad a környezetbe, így a fényhatás kerül a középpontba. A fényfüzér állófényű, tehát folyamatos, nyugodt fényt biztosít, amely kiválóan alkalmas kisebb helyek dekorálására, mint például polcok, tükrök vagy asztali díszek. A be/ki kapcsolóval könnyen kezelhető, így egyszerűen vezérelhető, amikor szükséges. A termék 2 db 1,5 V-os (LR44) gombelemmel működik, amelyek tartozékok, így a telepítés után azonnal használatba vehető.
Ez a fényfüzér beltéri kivitelű, tehát kifejezetten belső terek dekorálására lett tervezve, legyen szó ünnepi időszakokról, különleges alkalmakról vagy mindennapi hangulatvilágításról. A kompakt, mégis elegáns kialakításnak köszönhetően szinte bármilyen dekorációhoz illik, és meleg, barátságos atmoszférát teremt.
Teremtsen különleges, színes fényeket otthonában ezzel a praktikus, mégis stílusos micro LED-es fényfüzérrel! Rendelje meg most, és adjon új fényt otthona bármelyik sarkának!</t>
        </is>
      </c>
    </row>
    <row r="2397">
      <c r="A2397" s="3" t="inlineStr">
        <is>
          <t>LP 20/WW</t>
        </is>
      </c>
      <c r="B2397" s="2" t="inlineStr">
        <is>
          <t>Home LP 20/WW LED-es villanykörte fényfüzér, 9,5 m / 20 db melegfehér LED, villanykörte búra, állófényű, átlátszó vezeték, adapter, kül- és beltéri kivitel</t>
        </is>
      </c>
      <c r="C2397" s="1" t="n">
        <v>11790.0</v>
      </c>
      <c r="D2397" s="7" t="n">
        <f>HYPERLINK("https://www.somogyi.hu/product/home-lp-20-ww-led-es-villanykorte-fenyfuzer-9-5-m-20-db-melegfeher-led-villanykorte-bura-allofenyu-atlatszo-vezetek-adapter-kul-es-belteri-kivitel-lp-20-ww-14843","https://www.somogyi.hu/product/home-lp-20-ww-led-es-villanykorte-fenyfuzer-9-5-m-20-db-melegfeher-led-villanykorte-bura-allofenyu-atlatszo-vezetek-adapter-kul-es-belteri-kivitel-lp-20-ww-14843")</f>
        <v>0.0</v>
      </c>
      <c r="E2397" s="7" t="n">
        <f>HYPERLINK("https://www.somogyi.hu/data/img/product_main_images/small/14843.jpg","https://www.somogyi.hu/data/img/product_main_images/small/14843.jpg")</f>
        <v>0.0</v>
      </c>
      <c r="F2397" s="2" t="inlineStr">
        <is>
          <t>5999084928803</t>
        </is>
      </c>
      <c r="G2397" s="4" t="inlineStr">
        <is>
          <t>Szeretne egy olyan világítási megoldást, ami egyszerre kifinomult és praktikus, valamint bármilyen helyszínen használható?
Az LP 20/WW az a választás, amire szüksége van. Ez a kül- és beltéri kivitelű termék 20 műanyag villanykörtét vonultat fel, melyek mindegyikében egy melegfehér LED biztosítja az ideális fényerőt. 
Az átlátszó vezeték szinte észrevétlenül olvad bele környezetébe, így a fények dominálnak, nem pedig a kábel. 
Emellett a kültéri IP44-es hálózati adapter biztosítja, hogy az időjárási körülmények ne legyenek akadályai a tökéletes hangulat megteremtésének.
Ne álljon meg egy sima világításnál! Az LP 20/WW-vel bűvölje el otthonát vagy kertjét, és élvezze a meghitt fények különleges atmoszféráját!</t>
        </is>
      </c>
    </row>
    <row r="2398">
      <c r="A2398" s="3" t="inlineStr">
        <is>
          <t>MLC 10/CS</t>
        </is>
      </c>
      <c r="B2398" s="2" t="inlineStr">
        <is>
          <t>Home MLC 10/CS mini LED-es csillag fényfüzér, 0,9 m / 10 db melegfehér LED, állófényű, átlátszó vezeték, elemes, beltéri kivitel</t>
        </is>
      </c>
      <c r="C2398" s="1" t="n">
        <v>1090.0</v>
      </c>
      <c r="D2398" s="7" t="n">
        <f>HYPERLINK("https://www.somogyi.hu/product/home-mlc-10-cs-mini-led-es-csillag-fenyfuzer-0-9-m-10-db-melegfeher-led-allofenyu-atlatszo-vezetek-elemes-belteri-kivitel-mlc-10-cs-9868","https://www.somogyi.hu/product/home-mlc-10-cs-mini-led-es-csillag-fenyfuzer-0-9-m-10-db-melegfeher-led-allofenyu-atlatszo-vezetek-elemes-belteri-kivitel-mlc-10-cs-9868")</f>
        <v>0.0</v>
      </c>
      <c r="E2398" s="7" t="n">
        <f>HYPERLINK("https://www.somogyi.hu/data/img/product_main_images/small/09868.jpg","https://www.somogyi.hu/data/img/product_main_images/small/09868.jpg")</f>
        <v>0.0</v>
      </c>
      <c r="F2398" s="2" t="inlineStr">
        <is>
          <t>5998312785881</t>
        </is>
      </c>
      <c r="G2398" s="4" t="inlineStr">
        <is>
          <t>Szeretné különlegessé tenni otthona dekorációját egy meleg, barátságos fényfüzérrel? A Home MLC 10/CS mini LED-es csillag fényfüzér tökéletes választás, ha egyedi, beltéri hangulatvilágítást keres. 
A 90 cm hosszú fényfüzéren 10 darab melegfehér, csillag alakú LED található, amelyek varázslatos fényt árasztanak, és bármilyen helyiségben azonnal otthonos légkört teremtenek. Az átlátszó vezeték diszkréten simul a háttérbe, így csak a fények ragyogása kerül előtérbe, megőrizve a dekoráció letisztult, modern hatását. A fényfüzér működését egy praktikus be- és kikapcsolóval egyszerűen szabályozhatja, míg a 2 x 1,5 V (AA) elembiztosítja a tápellátást, így vezetékek nélkül is bárhol elhelyezhető. 
A fényfüzér ideális választás kis terek díszítésére, például polcokra, ablakkeretekre vagy akár ajándékcsomagokhoz, de alkalmas karácsonyfák megvilágítására is. A melegfehér fények kellemes, lágy megvilágítást biztosítanak, amely bármilyen stílusú enteriőrbe beleillik. Egyszerűen telepíthető és könnyen használható, így akár azonnal élvezheti a csillagok ragyogását otthonában. A kompakt kialakításának köszönhetően bármely kisebb beltéri tér feldobására is alkalmas, legyen szó ünnepi dekorációról vagy mindennapi hangulatfényről.
Hozzon létre meghitt, varázslatos atmoszférát ezzel a bájos csillag fényfüzérrel! Rendelje meg most, és tegye még különlegesebbé otthona dekorációját!</t>
        </is>
      </c>
    </row>
    <row r="2399">
      <c r="A2399" s="3" t="inlineStr">
        <is>
          <t>KLW 20 PINE</t>
        </is>
      </c>
      <c r="B2399" s="2" t="inlineStr">
        <is>
          <t>LED-es izzósor, fa fenyő, 3,8m, 3V</t>
        </is>
      </c>
      <c r="C2399" s="1" t="n">
        <v>1590.0</v>
      </c>
      <c r="D2399" s="7" t="n">
        <f>HYPERLINK("https://www.somogyi.hu/product/led-es-izzosor-fa-fenyo-3-8m-3v-klw-20-pine-14842","https://www.somogyi.hu/product/led-es-izzosor-fa-fenyo-3-8m-3v-klw-20-pine-14842")</f>
        <v>0.0</v>
      </c>
      <c r="E2399" s="7" t="n">
        <f>HYPERLINK("https://www.somogyi.hu/data/img/product_main_images/small/14842.jpg","https://www.somogyi.hu/data/img/product_main_images/small/14842.jpg")</f>
        <v>0.0</v>
      </c>
      <c r="F2399" s="2" t="inlineStr">
        <is>
          <t>5999084928797</t>
        </is>
      </c>
      <c r="G2399" s="4" t="inlineStr">
        <is>
          <t>Ön is kedveli az angyalkás karácsonyi dekorációkat? A KLW 20 PINE egy LED-es, elemes fényfüzér, amely égőinek fenyőfa formája van. Az angyalfigurák fából, készültek, mivel a fa önmagában egy bensőséges, melegséget sugárzó anyag, továbbá fehérre is lettek festve, hogy hűen visszaadják a karácsony eszméjének tisztaságát.
A termék világítását 20 db melegfehér LED biztosítja. Tápellátása elemmel oldható meg. Válassza a minőségi termékeket és rendeljen webáruházunkból.</t>
        </is>
      </c>
    </row>
    <row r="2400">
      <c r="A2400" s="3" t="inlineStr">
        <is>
          <t>KLG 25</t>
        </is>
      </c>
      <c r="B2400" s="2" t="inlineStr">
        <is>
          <t>Home KLG 25 micro LED-es gyöngy fényfüzér, 1,5 m / 25 db melegfehér LED, állófényű, átlátszó vezeték, elemes, beltéri kivitel</t>
        </is>
      </c>
      <c r="C2400" s="1" t="n">
        <v>4290.0</v>
      </c>
      <c r="D2400" s="7" t="n">
        <f>HYPERLINK("https://www.somogyi.hu/product/home-klg-25-micro-led-es-gyongy-fenyfuzer-1-5-m-25-db-melegfeher-led-allofenyu-atlatszo-vezetek-elemes-belteri-kivitel-klg-25-15601","https://www.somogyi.hu/product/home-klg-25-micro-led-es-gyongy-fenyfuzer-1-5-m-25-db-melegfeher-led-allofenyu-atlatszo-vezetek-elemes-belteri-kivitel-klg-25-15601")</f>
        <v>0.0</v>
      </c>
      <c r="E2400" s="7" t="n">
        <f>HYPERLINK("https://www.somogyi.hu/data/img/product_main_images/small/15601.jpg","https://www.somogyi.hu/data/img/product_main_images/small/15601.jpg")</f>
        <v>0.0</v>
      </c>
      <c r="F2400" s="2" t="inlineStr">
        <is>
          <t>5999084936358</t>
        </is>
      </c>
      <c r="G2400" s="4" t="inlineStr">
        <is>
          <t>Varázsoljon otthonába eleganciát és melegséget a KLG 25 micro-LED gyöngyfüzérrel! 
Ez a lenyűgöző beltéri dekoráció 25 melegfehér LED-del és akril gyöngyökkel díszítve tökéletes kiegészítője lehet bármelyik helyiségnek. 
Az átlátszó vezeték és a be/ki kapcsoló egyszerű használatot biztosít, míg a tápellátást 3 darab 1,5 V (AA) elem szolgáltatja (nem tartozék). 
Tegye feledhetetlenné otthonát ezzel a gyönyörű füzérrel!</t>
        </is>
      </c>
    </row>
    <row r="2401">
      <c r="A2401" s="3" t="inlineStr">
        <is>
          <t>KII 100B/WW</t>
        </is>
      </c>
      <c r="B2401" s="2" t="inlineStr">
        <is>
          <t>Home KII 100B/WW LED-es gömb fényfüzér, 8 m / 100 db melegfehér LED, állófényű, zöld vezeték, hálózati adapter, beltéri kivitel</t>
        </is>
      </c>
      <c r="C2401" s="1" t="n">
        <v>7190.0</v>
      </c>
      <c r="D2401" s="7" t="n">
        <f>HYPERLINK("https://www.somogyi.hu/product/home-kii-100b-ww-led-es-gomb-fenyfuzer-8-m-100-db-melegfeher-led-allofenyu-zold-vezetek-halozati-adapter-belteri-kivitel-kii-100b-ww-16143","https://www.somogyi.hu/product/home-kii-100b-ww-led-es-gomb-fenyfuzer-8-m-100-db-melegfeher-led-allofenyu-zold-vezetek-halozati-adapter-belteri-kivitel-kii-100b-ww-16143")</f>
        <v>0.0</v>
      </c>
      <c r="E2401" s="7" t="n">
        <f>HYPERLINK("https://www.somogyi.hu/data/img/product_main_images/small/16143.jpg","https://www.somogyi.hu/data/img/product_main_images/small/16143.jpg")</f>
        <v>0.0</v>
      </c>
      <c r="F2401" s="2" t="inlineStr">
        <is>
          <t>5999084941758</t>
        </is>
      </c>
      <c r="G2401" s="4" t="inlineStr">
        <is>
          <t>Olyan ünnepi beltéri világítási megoldást keres, amely nem csak praktikus, de esztétikailag is lenyűgöző?
A KII 100B/WW pontosan ilyen: egy beltéri kivitelű, állófényű fényfüzér, melyben 100 melegfehér LED gyönyörködteti szemét. 
Minden egyes LED-et egy 1,5 cm-es opál gömb dekoráció vesz körül, ami a színeknek finom, fátyolszerű ragyogást kölcsönöz. 
A zöld vezeték diszkréten illeszkedik karácsonyfája környezetébe, míg a beltéri hálózati adapter garantálja a könnyű és biztonságos csatlakoztatást otthonában.
Fedezze fel a KII 100B/WW varázslatos világát és tegye otthonát még hangulatosabbá!</t>
        </is>
      </c>
    </row>
    <row r="2402">
      <c r="A2402" s="3" t="inlineStr">
        <is>
          <t>RLS5WW</t>
        </is>
      </c>
      <c r="B2402" s="2" t="inlineStr">
        <is>
          <t>Home RLS5WW mintás LED szalag, 50 db micro LED, kül- és beléri kivitel, 5 m, ismétlődő időzítés, 8 funkció, elemes</t>
        </is>
      </c>
      <c r="C2402" s="1" t="n">
        <v>3490.0</v>
      </c>
      <c r="D2402" s="7" t="n">
        <f>HYPERLINK("https://www.somogyi.hu/product/home-rls5ww-mintas-led-szalag-50-db-micro-led-kul-es-beleri-kivitel-5-m-ismetlodo-idozites-8-funkcio-elemes-rls5ww-18588","https://www.somogyi.hu/product/home-rls5ww-mintas-led-szalag-50-db-micro-led-kul-es-beleri-kivitel-5-m-ismetlodo-idozites-8-funkcio-elemes-rls5ww-18588")</f>
        <v>0.0</v>
      </c>
      <c r="E2402" s="7" t="n">
        <f>HYPERLINK("https://www.somogyi.hu/data/img/product_main_images/small/18588.jpg","https://www.somogyi.hu/data/img/product_main_images/small/18588.jpg")</f>
        <v>0.0</v>
      </c>
      <c r="F2402" s="2" t="inlineStr">
        <is>
          <t>5999084966065</t>
        </is>
      </c>
      <c r="G2402" s="4" t="inlineStr">
        <is>
          <t>Kíváncsi, hogyan tehetné otthonát még hangulatosabbá? A Home RLS5WW mintás LED szalag tökéletes választás a dekorációhoz!
Ez az aranyszínű szalag meleg fehér LED-ekkel rendelkezik, amelyek kellemes, meghitt fényt biztosítanak. Az 5 méter hosszú szalag 50 db microLED-del van ellátva, a LED-ek közötti távolság pedig 10 cm, így egyenletesen oszlatja el a fényt. A szalag szélessége 5 cm, ami elegendő a látványos megjelenéshez. A 30 cm-es tápvezetékkel könnyen csatlakoztatható a tápforráshoz, és a 6h ON/18h OFF időzítővel egyszerűen beállítható a kívánt világítási idő.
Az IP44 elemtartó 8 funkcióval rendelkezik, így különböző világítási módok közül választhat. A szalag tápellátása 3x1,5 V (AA) elemmel történik, amelyeket nem tartalmaz a csomag. A színes dobozos csomagolás nemcsak praktikus, hanem ajándéknak is tökéletes.
Varázsoljon ünnepi fényt otthonába a Home RLS5WW mintás LED szalaggal, és élvezze a kellemes atmoszférát minden nap!</t>
        </is>
      </c>
    </row>
    <row r="2403">
      <c r="A2403" s="3" t="inlineStr">
        <is>
          <t>KIL 40C/M</t>
        </is>
      </c>
      <c r="B2403" s="2" t="inlineStr">
        <is>
          <t>Home KIL 40C/M LED-es fényfüzér, 4 m / 40 db színes dekorált LED, állófényű, zöld vezeték, hálózati adapter, beltéri kivitel</t>
        </is>
      </c>
      <c r="C2403" s="1" t="n">
        <v>4890.0</v>
      </c>
      <c r="D2403" s="7" t="n">
        <f>HYPERLINK("https://www.somogyi.hu/product/home-kil-40c-m-led-es-fenyfuzer-4-m-40-db-szines-dekoralt-led-allofenyu-zold-vezetek-halozati-adapter-belteri-kivitel-kil-40c-m-15576","https://www.somogyi.hu/product/home-kil-40c-m-led-es-fenyfuzer-4-m-40-db-szines-dekoralt-led-allofenyu-zold-vezetek-halozati-adapter-belteri-kivitel-kil-40c-m-15576")</f>
        <v>0.0</v>
      </c>
      <c r="E2403" s="7" t="n">
        <f>HYPERLINK("https://www.somogyi.hu/data/img/product_main_images/small/15576.jpg","https://www.somogyi.hu/data/img/product_main_images/small/15576.jpg")</f>
        <v>0.0</v>
      </c>
      <c r="F2403" s="2" t="inlineStr">
        <is>
          <t>5999084936105</t>
        </is>
      </c>
      <c r="G2403" s="4" t="inlineStr">
        <is>
          <t>Vidám és színes világítási megoldást keres beltéri használatra?
A KIL 40C/M tökéletes választás az Ön számára! A füzér 40 darab színes LED-et tartalmaz, mindegyiken színes dekorációval, amely még élénkebbé és vidámabbá teszi otthonát. 
A zöld vezeték diszkréten illeszkedik a karácsonyfa környezetébe, ezért a figyelem teljesen a színes LED-eken és dekorációkon marad. 
Ráadásul a tápellátás közvetlenül a hálózatról történik (230 V~), így nem kell aggódnia az elemek cseréje miatt.
Hozza meg a döntést most, és vigyen egy kis színt és vidámságot otthonába a KIL 40C/M-mel!</t>
        </is>
      </c>
    </row>
    <row r="2404">
      <c r="A2404" s="3" t="inlineStr">
        <is>
          <t>KII 100B/M</t>
        </is>
      </c>
      <c r="B2404" s="2" t="inlineStr">
        <is>
          <t>Home KII 100B/M LED-es gömb fényfüzér, 8 m / 100 db színes LED, állófényű, zöld vezeték, hálózati adapter, beltéri kivitel</t>
        </is>
      </c>
      <c r="C2404" s="1" t="n">
        <v>7190.0</v>
      </c>
      <c r="D2404" s="7" t="n">
        <f>HYPERLINK("https://www.somogyi.hu/product/home-kii-100b-m-led-es-gomb-fenyfuzer-8-m-100-db-szines-led-allofenyu-zold-vezetek-halozati-adapter-belteri-kivitel-kii-100b-m-16144","https://www.somogyi.hu/product/home-kii-100b-m-led-es-gomb-fenyfuzer-8-m-100-db-szines-led-allofenyu-zold-vezetek-halozati-adapter-belteri-kivitel-kii-100b-m-16144")</f>
        <v>0.0</v>
      </c>
      <c r="E2404" s="7" t="n">
        <f>HYPERLINK("https://www.somogyi.hu/data/img/product_main_images/small/16144.jpg","https://www.somogyi.hu/data/img/product_main_images/small/16144.jpg")</f>
        <v>0.0</v>
      </c>
      <c r="F2404" s="2" t="inlineStr">
        <is>
          <t>5999084941765</t>
        </is>
      </c>
      <c r="G2404" s="4" t="inlineStr">
        <is>
          <t>Olyan ünnepi beltéri világítási megoldást keres, amely nem csak praktikus, de esztétikailag is lenyűgöző?
A KII 100B/M pontosan ilyen: egy beltéri kivitelű, állófényű fényfüzér, melyben 100 színes LED gyönyörködteti szemét. 
Minden egyes LED-et egy 1,5 cm-es opál gömb dekoráció vesz körül, ami a színeknek finom, fátyolszerű ragyogást kölcsönöz. 
A zöld vezeték diszkréten illeszkedik karácsonyfája környezetébe, míg a beltéri hálózati adapter garantálja a könnyű és biztonságos csatlakoztatást otthonában.
Fedezze fel a KII 100B/M varázslatos világát és tegye otthonát még hangulatosabbá!</t>
        </is>
      </c>
    </row>
    <row r="2405">
      <c r="A2405" s="3" t="inlineStr">
        <is>
          <t>ML 23/WW</t>
        </is>
      </c>
      <c r="B2405" s="2" t="inlineStr">
        <is>
          <t>Home ML 23/WW micro LED-es fényfüzér, 1,9 m / 20 db melegfehér LED, rénszarvas, harang, angyal, hópehely fa figurákkal, átlátszó vezeték, elemes, beltéri kivitel</t>
        </is>
      </c>
      <c r="C2405" s="1" t="n">
        <v>2590.0</v>
      </c>
      <c r="D2405" s="7" t="n">
        <f>HYPERLINK("https://www.somogyi.hu/product/home-ml-23-ww-micro-led-es-fenyfuzer-1-9-m-20-db-melegfeher-led-renszarvas-harang-angyal-hopehely-fa-figurakkal-atlatszo-vezetek-elemes-belteri-kivitel-ml-23-ww-16985","https://www.somogyi.hu/product/home-ml-23-ww-micro-led-es-fenyfuzer-1-9-m-20-db-melegfeher-led-renszarvas-harang-angyal-hopehely-fa-figurakkal-atlatszo-vezetek-elemes-belteri-kivitel-ml-23-ww-16985")</f>
        <v>0.0</v>
      </c>
      <c r="E2405" s="7" t="n">
        <f>HYPERLINK("https://www.somogyi.hu/data/img/product_main_images/small/16985.jpg","https://www.somogyi.hu/data/img/product_main_images/small/16985.jpg")</f>
        <v>0.0</v>
      </c>
      <c r="F2405" s="2" t="inlineStr">
        <is>
          <t>5999084950170</t>
        </is>
      </c>
      <c r="G2405" s="4" t="inlineStr">
        <is>
          <t>Szeretné egyedivé tenni a belső terét az ünnepek alatt? Az ML 23/WW fényfüzér a tökéletes választás!
Ez a beltéri kivitelű fényfüzér 20 db melegfehér micro-LED-del rendelkezik, amelyek mindegyike a vékony, átlátszó vezetéken helyezkedik el. 
Egy fényfüzéren belül a LED-ek vagy rénszarvas, vagy harang, vagy angyal, vagy hópehely figurákkal vannak díszítve, mely díszek fából készültek.
A fényfüzér kikapcsolt, bekapcsolt és ismétlődő időzítés funkciókkal is rendelkezik (6 óra bekapcsolt és 18 óra kikapcsolt állapot), ami nagyban leegyszerűsíti a használatát. 
A tápellátás 2 x 1,5 V (AA) elemmel működik, amelyek nem tartoznak a csomaghoz. 
A termék kizárólag displayben, vegyes figurákkal rendelhető, a "TRY ME DISPLAY" pedig a 4-féle figurából 5-5 db füzért tartalmaz.
Ne hagyja ki ezt a különleges ajánlatot! Tegye otthonát igazán ünnepivé az ML 23/WW fényfüzéreivel!</t>
        </is>
      </c>
    </row>
    <row r="2406">
      <c r="A2406" s="3" t="inlineStr">
        <is>
          <t>KJL 360</t>
        </is>
      </c>
      <c r="B2406" s="2" t="inlineStr">
        <is>
          <t>Home KJL 360 LED-es jégcsap fényfüzér, 5,32x0,36 m / 360 db hidegfehér LED, 15 db jégcsap, átlátszó vezeték, fényjáték, hálózati adapter, kül- és beltéri kivitel</t>
        </is>
      </c>
      <c r="C2406" s="1" t="n">
        <v>26590.0</v>
      </c>
      <c r="D2406" s="7" t="n">
        <f>HYPERLINK("https://www.somogyi.hu/product/home-kjl-360-led-es-jegcsap-fenyfuzer-5-32x0-36-m-360-db-hidegfeher-led-15-db-jegcsap-atlatszo-vezetek-fenyjatek-halozati-adapter-kul-es-belteri-kivitel-kjl-360-17860","https://www.somogyi.hu/product/home-kjl-360-led-es-jegcsap-fenyfuzer-5-32x0-36-m-360-db-hidegfeher-led-15-db-jegcsap-atlatszo-vezetek-fenyjatek-halozati-adapter-kul-es-belteri-kivitel-kjl-360-17860")</f>
        <v>0.0</v>
      </c>
      <c r="E2406" s="7" t="n">
        <f>HYPERLINK("https://www.somogyi.hu/data/img/product_main_images/small/17860.jpg","https://www.somogyi.hu/data/img/product_main_images/small/17860.jpg")</f>
        <v>0.0</v>
      </c>
      <c r="F2406" s="2" t="inlineStr">
        <is>
          <t>5999084958824</t>
        </is>
      </c>
      <c r="G2406" s="4" t="inlineStr">
        <is>
          <t>Egy beltéri vagy kültéri dekorációt keres, amely garantáltan feldobja az ünnepi hangulatot? A Home KJL 360 LED-es jégcsap fényfüzér hidegfehér fényével varázslatos hangulatot teremt, akár a kertben, akár a nappaliban szeretné elhelyezni. 
A 360 darab LED, amelyek 15 jégcsapon oszlanak el, élethű olvadást imitáló futófény effektussal rendelkeznek, így a fények dinamikus játékával még ünnepibbé teszik a környezetet. Minden jégcsapon belül 24 LED található, melyek folyamatosan változó fénye lenyűgöző látványt biztosít. A fényfüzér kültéri és beltéri használatra is alkalmas, hiszen IP44-es védettséggel ellátott hálózati adapterrel rendelkezik, amely biztosítja a megbízható működést akár esős időben is. A teljes füzér 5,6 méter hosszú, ami elegendő teret ad, hogy különleges dekorációt hozzon létre, míg a 5 méteres tápvezeték egyszerű elhelyezést tesz lehetővé.
Ne hagyja ki a lehetőséget, hogy egy igazán egyedi és látványos fényfüzérrel varázsolja még különlegesebbé otthonát vagy kertjét – rendeljen most!</t>
        </is>
      </c>
    </row>
    <row r="2407">
      <c r="A2407" s="3" t="inlineStr">
        <is>
          <t>KJL 240</t>
        </is>
      </c>
      <c r="B2407" s="2" t="inlineStr">
        <is>
          <t>Home KJL 240 LED-es jégcsap fényfüzér, 5,32x0,24 m / 240 db hidegfehér LED, 15 db jégcsap, átlátszó vezeték, fényjáték, hálózati adapter, kül- és beltéri kivitel</t>
        </is>
      </c>
      <c r="C2407" s="1" t="n">
        <v>20490.0</v>
      </c>
      <c r="D2407" s="7" t="n">
        <f>HYPERLINK("https://www.somogyi.hu/product/home-kjl-240-led-es-jegcsap-fenyfuzer-5-32x0-24-m-240-db-hidegfeher-led-15-db-jegcsap-atlatszo-vezetek-fenyjatek-halozati-adapter-kul-es-belteri-kivitel-kjl-240-17861","https://www.somogyi.hu/product/home-kjl-240-led-es-jegcsap-fenyfuzer-5-32x0-24-m-240-db-hidegfeher-led-15-db-jegcsap-atlatszo-vezetek-fenyjatek-halozati-adapter-kul-es-belteri-kivitel-kjl-240-17861")</f>
        <v>0.0</v>
      </c>
      <c r="E2407" s="7" t="n">
        <f>HYPERLINK("https://www.somogyi.hu/data/img/product_main_images/small/17861.jpg","https://www.somogyi.hu/data/img/product_main_images/small/17861.jpg")</f>
        <v>0.0</v>
      </c>
      <c r="F2407" s="2" t="inlineStr">
        <is>
          <t>5999084958831</t>
        </is>
      </c>
      <c r="G2407" s="4" t="inlineStr">
        <is>
          <t>Szeretné, ha otthona varázslatos jégcsap fényekben ragyogna az ünnepek alatt? A Home KJL 240 LED-es jégcsap fényfüzér tökéletes választás kültéri és beltéri dekorációhoz, hogy meghitt és ünnepi hangulatot varázsoljon. 
Ez a lenyűgöző fényfüzér 240 hidegfehér LED-del rendelkezik, melyek 15 jégcsapon belül helyezkednek el, jégcsaponként 16 LED-del. Az olvadást imitáló futófény különleges, dinamikus fényhatást kelt, amely elvarázsolja a nézőket.
A fényfüzér átlátszó vezetékkel rendelkezik, amely diszkréten olvad bele bármilyen környezetbe, biztosítva, hogy a figyelem a csillogó jégcsapokra összpontosuljon. A 5,6 méter hosszú függöny ideális ablakok, ereszcsatornák, kerítések vagy teraszok díszítésére, míg az 5 méteres tápvezeték és a mellékelt IP44-es hálózati adapter lehetővé teszi a könnyű és biztonságos csatlakoztatást.
Hozza el a jégcsapok varázsát otthonába vagy kertjébe a Home KJL 240 LED-es jégcsap fényfüzérrel! Rendelje meg most, és élvezze a csillogó ünnepi hangulatot minden nap!</t>
        </is>
      </c>
    </row>
    <row r="2408">
      <c r="A2408" s="3" t="inlineStr">
        <is>
          <t>MLC20B</t>
        </is>
      </c>
      <c r="B2408" s="2" t="inlineStr">
        <is>
          <t>Home MLC20B LED-es gömb fényfüzér, 20 melegfehér LED, elemes, ~3m hossz, átlátszó vezeték, fa + műanyag</t>
        </is>
      </c>
      <c r="C2408" s="1" t="n">
        <v>6090.0</v>
      </c>
      <c r="D2408" s="7" t="n">
        <f>HYPERLINK("https://www.somogyi.hu/product/home-mlc20b-led-es-gomb-fenyfuzer-20-melegfeher-led-elemes-3m-hossz-atlatszo-vezetek-fa-muanyag-mlc20b-18995","https://www.somogyi.hu/product/home-mlc20b-led-es-gomb-fenyfuzer-20-melegfeher-led-elemes-3m-hossz-atlatszo-vezetek-fa-muanyag-mlc20b-18995")</f>
        <v>0.0</v>
      </c>
      <c r="E2408" s="7" t="n">
        <f>HYPERLINK("https://www.somogyi.hu/data/img/product_main_images/small/18995.jpg","https://www.somogyi.hu/data/img/product_main_images/small/18995.jpg")</f>
        <v>0.0</v>
      </c>
      <c r="F2408" s="2" t="inlineStr">
        <is>
          <t>5999084969899</t>
        </is>
      </c>
      <c r="G2408" s="4" t="inlineStr">
        <is>
          <t>Szeretne egy hangulatos fényfüzért, amely feldobja a teret és meleg fényt áraszt? A Home MLC20B LED-es gömb fényfüzér tökéletes választás!
Ez a stílusos fényfüzér 20 db melegfehér LED-del és fehér műanyag lámpabúrákkal érkezik, amelyek kellemes fényt biztosítanak bármilyen helyiségben. A LED-ek közötti távolság 15 cm, így a teljes füzér hossza 2,85 m, plusz 0,3 m tápvezeték biztosítja a könnyű elhelyezést. Az átlátszó vezetékek diszkrét megjelenést nyújtanak.
A füzér 3 db 1,5 V AA elemmel működik (nem tartozék), így szabadon helyezhető el anélkül, hogy hálózati csatlakozásra lenne szükség. Anyaga fa és műanyag, tömege pedig mindössze 200 g.
Varázsoljon hangulatos fényt otthonába a Home MLC20B LED-es gömb fényfüzérrel!</t>
        </is>
      </c>
    </row>
    <row r="2409">
      <c r="A2409" s="3" t="inlineStr">
        <is>
          <t>KII 200B/M</t>
        </is>
      </c>
      <c r="B2409" s="2" t="inlineStr">
        <is>
          <t>Home KII 200B/M LED-es gömb fényfüzér, 16 m / 200 db színes LED, állófényű, zöld vezeték, hálózati adapter, beltéri kivitel</t>
        </is>
      </c>
      <c r="C2409" s="1" t="n">
        <v>11890.0</v>
      </c>
      <c r="D2409" s="7" t="n">
        <f>HYPERLINK("https://www.somogyi.hu/product/home-kii-200b-m-led-es-gomb-fenyfuzer-16-m-200-db-szines-led-allofenyu-zold-vezetek-halozati-adapter-belteri-kivitel-kii-200b-m-16146","https://www.somogyi.hu/product/home-kii-200b-m-led-es-gomb-fenyfuzer-16-m-200-db-szines-led-allofenyu-zold-vezetek-halozati-adapter-belteri-kivitel-kii-200b-m-16146")</f>
        <v>0.0</v>
      </c>
      <c r="E2409" s="7" t="n">
        <f>HYPERLINK("https://www.somogyi.hu/data/img/product_main_images/small/16146.jpg","https://www.somogyi.hu/data/img/product_main_images/small/16146.jpg")</f>
        <v>0.0</v>
      </c>
      <c r="F2409" s="2" t="inlineStr">
        <is>
          <t>5999084941789</t>
        </is>
      </c>
      <c r="G2409" s="4" t="inlineStr">
        <is>
          <t>Olyan ünnepi beltéri világítási megoldást keres, amely nem csak praktikus, de esztétikailag is lenyűgöző?
A KII 200B/M pontosan ilyen: egy beltéri kivitelű, állófényű fényfüzér, melyben 200 színes LED gyönyörködteti szemét. 
Minden egyes LED-et egy 1,5 cm-es opál gömb dekoráció vesz körül, ami a színeknek finom, fátyolszerű ragyogást kölcsönöz. 
A zöld vezeték diszkréten illeszkedik karácsonyfája környezetébe, míg a beltéri hálózati adapter garantálja a könnyű és biztonságos csatlakoztatást otthonában.
Fedezze fel a KII 200B/M varázslatos világát és tegye otthonát még hangulatosabbá!</t>
        </is>
      </c>
    </row>
    <row r="2410">
      <c r="A2410" s="6" t="inlineStr">
        <is>
          <t xml:space="preserve">   Dekorációs világítás / Fényfüggöny</t>
        </is>
      </c>
      <c r="B2410" s="6" t="inlineStr">
        <is>
          <t/>
        </is>
      </c>
      <c r="C2410" s="6" t="inlineStr">
        <is>
          <t/>
        </is>
      </c>
      <c r="D2410" s="6" t="inlineStr">
        <is>
          <t/>
        </is>
      </c>
      <c r="E2410" s="6" t="inlineStr">
        <is>
          <t/>
        </is>
      </c>
      <c r="F2410" s="6" t="inlineStr">
        <is>
          <t/>
        </is>
      </c>
      <c r="G2410" s="6" t="inlineStr">
        <is>
          <t/>
        </is>
      </c>
    </row>
    <row r="2411">
      <c r="A2411" s="3" t="inlineStr">
        <is>
          <t>KAF 600L 10M</t>
        </is>
      </c>
      <c r="B2411" s="2" t="inlineStr">
        <is>
          <t>Home KAF 600L 10M LED-es sziporkázó fényfüggöny, 10 m / 600 db sziporkázó melegfehér LED, fehér vezeték, hálózati adapter, kül- és beltéri kivitel</t>
        </is>
      </c>
      <c r="C2411" s="1" t="n">
        <v>28990.0</v>
      </c>
      <c r="D2411" s="7" t="n">
        <f>HYPERLINK("https://www.somogyi.hu/product/home-kaf-600l-10m-led-es-sziporkazo-fenyfuggony-10-m-600-db-sziporkazo-melegfeher-led-feher-vezetek-halozati-adapter-kul-es-belteri-kivitel-kaf-600l-10m-13982","https://www.somogyi.hu/product/home-kaf-600l-10m-led-es-sziporkazo-fenyfuggony-10-m-600-db-sziporkazo-melegfeher-led-feher-vezetek-halozati-adapter-kul-es-belteri-kivitel-kaf-600l-10m-13982")</f>
        <v>0.0</v>
      </c>
      <c r="E2411" s="7" t="n">
        <f>HYPERLINK("https://www.somogyi.hu/data/img/product_main_images/small/13982.jpg","https://www.somogyi.hu/data/img/product_main_images/small/13982.jpg")</f>
        <v>0.0</v>
      </c>
      <c r="F2411" s="2" t="inlineStr">
        <is>
          <t>5999084920340</t>
        </is>
      </c>
      <c r="G2411" s="4" t="inlineStr">
        <is>
          <t>Szeretné otthonát mesebeli fényekkel díszíteni az ünnepekre? A Home KAF 600L 10M LED-es sziporkázó fényfüggöny tökéletes választás kültéri és beltéri használatra egyaránt. 
Ez a fényfüggöny 600 melegfehér LED-ből áll, amelyek minden második füzérben egy hidegfehér LED villogásával kápráztatják el Önt és vendégeit. A 10 méteres hosszúságú függöny fehér vezetéke diszkréten simul a környezetébe, miközben a LED-ek ragyogó fénye varázslatos látványt nyújt. A fényfüggöny 230 V-os adapteres tápellátással működik, így egyszerűen csatlakoztatható a hálózathoz. Ideális választás bármilyen dekorációs célra, legyen szó otthoni, kerti, vagy akár üzleti dekorációról. Az egyedi villogó funkciók dinamikus és izgalmas fényjátékot biztosítanak, amely feldobja az ünnepi hangulatot.
Hozzon ünnepi varázslatot otthonába a Home KAF 600L 10M LED-es sziporkázó fényfüggönnyel! Rendelje meg most, és élvezze a ragyogó fények csodáját!</t>
        </is>
      </c>
    </row>
    <row r="2412">
      <c r="A2412" s="3" t="inlineStr">
        <is>
          <t>KIN 126C/WH</t>
        </is>
      </c>
      <c r="B2412" s="2" t="inlineStr">
        <is>
          <t>Home KIN 126C/WH LED-es fényfüggöny, 0,9x1,4 m / 126 db hidegfehér LED, fehér vezeték, állófényű, hálózati adapter, beltéri kivitel</t>
        </is>
      </c>
      <c r="C2412" s="1" t="n">
        <v>6390.0</v>
      </c>
      <c r="D2412" s="7" t="n">
        <f>HYPERLINK("https://www.somogyi.hu/product/home-kin-126c-wh-led-es-fenyfuggony-0-9x1-4-m-126-db-hidegfeher-led-feher-vezetek-allofenyu-halozati-adapter-belteri-kivitel-kin-126c-wh-15472","https://www.somogyi.hu/product/home-kin-126c-wh-led-es-fenyfuggony-0-9x1-4-m-126-db-hidegfeher-led-feher-vezetek-allofenyu-halozati-adapter-belteri-kivitel-kin-126c-wh-15472")</f>
        <v>0.0</v>
      </c>
      <c r="E2412" s="7" t="n">
        <f>HYPERLINK("https://www.somogyi.hu/data/img/product_main_images/small/15472.jpg","https://www.somogyi.hu/data/img/product_main_images/small/15472.jpg")</f>
        <v>0.0</v>
      </c>
      <c r="F2412" s="2" t="inlineStr">
        <is>
          <t>5999084935061</t>
        </is>
      </c>
      <c r="G2412" s="4" t="inlineStr">
        <is>
          <t>Szeretné otthonát ünnepi fényekkel díszíteni és varázslatos hangulatot teremteni? A Home KIN 126C/WH LED-es fényfüggöny tökéletes választás beltéri használatra, hogy otthona ragyogjon az ünnepek alatt. 
Ez a lenyűgöző fényfüggöny 126 hidegfehér LED-ből áll, amelyek kilenc füzérre vannak elosztva, füzérenként 14 LED-del. A 90 cm hosszúságú füzérek könnyedén elhelyezhetők bármilyen beltéri környezetben, legyen szó nappaliról, hálószobáról, vagy akár egy ünnepi asztalról. A fényfüggöny 3 méter hosszú tápvezetékkel rendelkezik, így a hálózati adapter segítségével könnyen csatlakoztatható a hálózathoz, biztosítva a folyamatos és megbízható működést. A hidegfehér fények tiszta, ragyogó fénye meghitt és varázslatos atmoszférát teremt otthonában.
Hozza el az ünnepi csillogást otthonába a Home KIN 126C/WH LED-es fényfüggönnyel! Rendelje meg most, és élvezze a ragyogó fények varázsát minden nap!</t>
        </is>
      </c>
    </row>
    <row r="2413">
      <c r="A2413" s="3" t="inlineStr">
        <is>
          <t>KIN 168C/WH</t>
        </is>
      </c>
      <c r="B2413" s="2" t="inlineStr">
        <is>
          <t>Home KIN 168C/WH LED-es fényfüggöny, 1,2x1,4 m / 168 db hidegfehér LED, fehér vezeték, állófényű, hálózati adapter, beltéri kivitel</t>
        </is>
      </c>
      <c r="C2413" s="1" t="n">
        <v>7690.0</v>
      </c>
      <c r="D2413" s="7" t="n">
        <f>HYPERLINK("https://www.somogyi.hu/product/home-kin-168c-wh-led-es-fenyfuggony-1-2x1-4-m-168-db-hidegfeher-led-feher-vezetek-allofenyu-halozati-adapter-belteri-kivitel-kin-168c-wh-15473","https://www.somogyi.hu/product/home-kin-168c-wh-led-es-fenyfuggony-1-2x1-4-m-168-db-hidegfeher-led-feher-vezetek-allofenyu-halozati-adapter-belteri-kivitel-kin-168c-wh-15473")</f>
        <v>0.0</v>
      </c>
      <c r="E2413" s="7" t="n">
        <f>HYPERLINK("https://www.somogyi.hu/data/img/product_main_images/small/15473.jpg","https://www.somogyi.hu/data/img/product_main_images/small/15473.jpg")</f>
        <v>0.0</v>
      </c>
      <c r="F2413" s="2" t="inlineStr">
        <is>
          <t>5999084935078</t>
        </is>
      </c>
      <c r="G2413" s="4" t="inlineStr">
        <is>
          <t>Szeretné otthonát ragyogó fényekkel feldíszíteni és varázslatos hangulatot teremteni az ünnepekre? A Home KIN 168C/WH LED-es fényfüggöny tökéletes választás beltéri dekorációhoz, hogy otthona fényben ússzon. 
Ez a fényfüggöny 168 hidegfehér LED-ből áll, amelyek tiszta, ragyogó fényt biztosítanak. A 12 füzér mindegyikén 14 LED található, így a teljes fényfüggöny 1,2 méter hosszúságú, tökéletesen illeszkedve bármilyen belső térhez. A fehér vezetékkel rendelkező fényfüggöny diszkréten olvad bele a környezetébe, így csak a fények ragyogása marad a középpontban.
A fényfüggöny 3 méter hosszú tápvezetékkel rendelkezik, így a beltéri hálózati adapter segítségével könnyedén csatlakoztatható a hálózathoz, biztosítva a folyamatos és megbízható működést. A hidegfehér LED-ek modern és elegáns megjelenést kölcsönöznek, tökéletes választás ünnepi dekorációhoz, vagy akár egész évben használatra.
Hozza el a ragyogó ünnepi fényeket otthonába a Home KIN 168C/WH LED-es fényfüggönnyel! Rendelje meg most, és élvezze a tiszta, fényes hangulatot minden nap!</t>
        </is>
      </c>
    </row>
    <row r="2414">
      <c r="A2414" s="3" t="inlineStr">
        <is>
          <t>KAF110WW</t>
        </is>
      </c>
      <c r="B2414" s="2" t="inlineStr">
        <is>
          <t>Home KAF110WW fényfüggöny, kül- és beltéri kivitel, 2,7 méter, 110 db melegfehér microLED, Mikulás és hóember figurák</t>
        </is>
      </c>
      <c r="C2414" s="1" t="n">
        <v>9890.0</v>
      </c>
      <c r="D2414" s="7" t="n">
        <f>HYPERLINK("https://www.somogyi.hu/product/home-kaf110ww-fenyfuggony-kul-es-belteri-kivitel-2-7-meter-110-db-melegfeher-microled-mikulas-es-hoember-figurak-kaf110ww-18598","https://www.somogyi.hu/product/home-kaf110ww-fenyfuggony-kul-es-belteri-kivitel-2-7-meter-110-db-melegfeher-microled-mikulas-es-hoember-figurak-kaf110ww-18598")</f>
        <v>0.0</v>
      </c>
      <c r="E2414" s="7" t="n">
        <f>HYPERLINK("https://www.somogyi.hu/data/img/product_main_images/small/18598.jpg","https://www.somogyi.hu/data/img/product_main_images/small/18598.jpg")</f>
        <v>0.0</v>
      </c>
      <c r="F2414" s="2" t="inlineStr">
        <is>
          <t>5999084966164</t>
        </is>
      </c>
      <c r="G2414" s="4" t="inlineStr">
        <is>
          <t>Szeretné ünnepi hangulatba öltöztetni otthonát egy varázslatos fényfüggönnyel, amely beltéren és kültéren is használható? Ismerje meg a Home KAF110WW fényfüggönyt, amely 110 db melegfehér micro LED-del, valamint Mikulás és hóember figurákkal varázsol ünnepi hangulatot otthonába vagy kertjébe. 
A 10 füzérből álló fényfüggöny átlátszó vezetékkel rendelkezik, így diszkrét megjelenésű, és minden környezetbe tökéletesen illeszkedik.
A fényfüggöny világítási módja állandó, így folyamatos meleg fényárban úszik. A 2,7 méter hosszú füzért 5 méteres tápkábel követi az adapterig, amely IP44-es kültéri védelemmel rendelkezik, biztosítva a biztonságos használatot bármilyen időjárási körülmények között. A füzérek közti távolság 30 cm, míg a fenyő figura magassága 11 cm. A gerinctől a lelógások hossza a figurák aljáig 60 cm és 80 cm, ami lenyűgöző látványt nyújt.
Ne hagyja ki ezt a különleges fényfüggönyt! Rendelje meg a Home KAF110WW fényfüggönyt még ma, és teremtsen varázslatos hangulatot az ünnepek alatt!</t>
        </is>
      </c>
    </row>
    <row r="2415">
      <c r="A2415" s="3" t="inlineStr">
        <is>
          <t>KKF 908/WH</t>
        </is>
      </c>
      <c r="B2415" s="2" t="inlineStr">
        <is>
          <t>Home KKF 908/WH LED-es fényfüggöny, 30 m / 900 db hidegfehér LED, 8 fényprogram, fehér vezeték, hálózati adapter, kül- és beltéri kivitel</t>
        </is>
      </c>
      <c r="C2415" s="1" t="n">
        <v>32990.0</v>
      </c>
      <c r="D2415" s="7" t="n">
        <f>HYPERLINK("https://www.somogyi.hu/product/home-kkf-908-wh-led-es-fenyfuggony-30-m-900-db-hidegfeher-led-8-fenyprogram-feher-vezetek-halozati-adapter-kul-es-belteri-kivitel-kkf-908-wh-16966","https://www.somogyi.hu/product/home-kkf-908-wh-led-es-fenyfuggony-30-m-900-db-hidegfeher-led-8-fenyprogram-feher-vezetek-halozati-adapter-kul-es-belteri-kivitel-kkf-908-wh-16966")</f>
        <v>0.0</v>
      </c>
      <c r="E2415" s="7" t="n">
        <f>HYPERLINK("https://www.somogyi.hu/data/img/product_main_images/small/16966.jpg","https://www.somogyi.hu/data/img/product_main_images/small/16966.jpg")</f>
        <v>0.0</v>
      </c>
      <c r="F2415" s="2" t="inlineStr">
        <is>
          <t>5999084949983</t>
        </is>
      </c>
      <c r="G2415" s="4" t="inlineStr">
        <is>
          <t>Hozza el a téli varázst otthonába az KKF 908/WH LED-es jégcsap függönyével! Ezzel a lenyűgöző fényfüzérrel kül- és beltéren is megalapozhatja a hangulatot.
A 900 LED fényes ragyogása és a hidegfehér színhőmérséklet egyszerre adja meg az igazi ünnepi érzést. Az 30 méter hosszú függöny fehér vezetéke elegánsan illeszkedik a környezetbe. A 8 program, a memóriás funkció és a választható időzítési módok teszik lehetővé, hogy a fények mindig a kívánt módon világítsanak. A folyamatos üzemmód vagy a 6 óra bekapcsolt és 18 óra kikapcsolt állapotú ismétlődő időzítés kényelmes megoldást kínál. Az KKF 908/WH jégcsap függönyéhez kültéri IP44-es hálózati adapter tartozik, így a fények mindig stabilan és biztonságosan működhetnek.
Hagyja, hogy az ünnepi fények megelevenítsék otthonát, és teremtsen varázslatos légkört minden alkalomra!</t>
        </is>
      </c>
    </row>
    <row r="2416">
      <c r="A2416" s="3" t="inlineStr">
        <is>
          <t>KKF 608/WH</t>
        </is>
      </c>
      <c r="B2416" s="2" t="inlineStr">
        <is>
          <t>Home KKF 608/WH LED-es fényfüggöny, 20 m / 600 db hidegfehér LED, 8 fényprogram, fehér vezeték, hálózati adapter, kül- és beltéri kivitel</t>
        </is>
      </c>
      <c r="C2416" s="1" t="n">
        <v>23190.0</v>
      </c>
      <c r="D2416" s="7" t="n">
        <f>HYPERLINK("https://www.somogyi.hu/product/home-kkf-608-wh-led-es-fenyfuggony-20-m-600-db-hidegfeher-led-8-fenyprogram-feher-vezetek-halozati-adapter-kul-es-belteri-kivitel-kkf-608-wh-16964","https://www.somogyi.hu/product/home-kkf-608-wh-led-es-fenyfuggony-20-m-600-db-hidegfeher-led-8-fenyprogram-feher-vezetek-halozati-adapter-kul-es-belteri-kivitel-kkf-608-wh-16964")</f>
        <v>0.0</v>
      </c>
      <c r="E2416" s="7" t="n">
        <f>HYPERLINK("https://www.somogyi.hu/data/img/product_main_images/small/16964.jpg","https://www.somogyi.hu/data/img/product_main_images/small/16964.jpg")</f>
        <v>0.0</v>
      </c>
      <c r="F2416" s="2" t="inlineStr">
        <is>
          <t>5999084949969</t>
        </is>
      </c>
      <c r="G2416" s="4" t="inlineStr">
        <is>
          <t>Hozza el a téli varázst otthonába az KKF 608/WH LED-es jégcsap függönyével! Ezzel a lenyűgöző fényfüzérrel kül- és beltéren is megalapozhatja a hangulatot.
A 600 LED fényes ragyogása és a hidegfehér színhőmérséklet egyszerre adja meg az igazi ünnepi érzést. Az 20 méter hosszú függöny fehér vezetéke elegánsan illeszkedik a környezetbe. A 8 program, a memóriás funkció és a választható időzítési módok teszik lehetővé, hogy a fények mindig a kívánt módon világítsanak. A folyamatos üzemmód vagy a 6 óra bekapcsolt és 18 óra kikapcsolt állapotú ismétlődő időzítés kényelmes megoldást kínál. Az KKF 608/WH jégcsap függönyéhez kültéri IP44-es hálózati adapter tartozik, így a fények mindig stabilan és biztonságosan működhetnek.
Hagyja, hogy az ünnepi fények megelevenítsék otthonát, és teremtsen varázslatos légkört minden alkalomra!</t>
        </is>
      </c>
    </row>
    <row r="2417">
      <c r="A2417" s="3" t="inlineStr">
        <is>
          <t>KAF 200L 10M/M</t>
        </is>
      </c>
      <c r="B2417" s="2" t="inlineStr">
        <is>
          <t>Home KAF 200L 10M/M LED-es fényfüggöny, 8 programos, 10m, IP44, 230V</t>
        </is>
      </c>
      <c r="C2417" s="1" t="n">
        <v>10690.0</v>
      </c>
      <c r="D2417" s="7" t="n">
        <f>HYPERLINK("https://www.somogyi.hu/product/home-kaf-200l-10m-m-led-es-fenyfuggony-8-programos-10m-ip44-230v-kaf-200l-10m-m-13978","https://www.somogyi.hu/product/home-kaf-200l-10m-m-led-es-fenyfuggony-8-programos-10m-ip44-230v-kaf-200l-10m-m-13978")</f>
        <v>0.0</v>
      </c>
      <c r="E2417" s="7" t="n">
        <f>HYPERLINK("https://www.somogyi.hu/data/img/product_main_images/small/13978.jpg","https://www.somogyi.hu/data/img/product_main_images/small/13978.jpg")</f>
        <v>0.0</v>
      </c>
      <c r="F2417" s="2" t="inlineStr">
        <is>
          <t>5999084920302</t>
        </is>
      </c>
      <c r="G2417" s="4" t="inlineStr">
        <is>
          <t>Szeretne egy olyan dekorációt, amely kültéren és beltéren is elegáns, ünnepi hangulatot teremt? A Home KAF 200L 10M/M LED-es fényfüggöny tökéletes megoldás, ha káprázatos színes fényekkel szeretné feldíszíteni otthonát.
Ez a 10 méter hosszú fényfüggöny 200 darab ragyogó színes LED-del világít, amelyek meleg, mégis modern hatást keltenek bármely környezetben. A 8 programos fényvezérlővel változatos fényhatásokat állíthat be, legyen az pislákolás, villogás vagy folyamatos világítás, és a memóriás funkciónak köszönhetően a fényfüggöny mindig megjegyzi az utolsó beállítást. A fehér vezeték szinte láthatatlanná válik, így csak a LED-ek fénye ragyog. A tartozék IP44-es kültéri adapter biztonságos használatot biztosít mind kültéren, mind beltéren. A 10 méteres füzér hossza tökéletes nagyobb területek, mint például homlokzatok, ablakok vagy kerítések díszítésére, míg az 5 méteres tápvezeték gondoskodik a kényelmes elhelyezésről.
Tegye otthonát különlegessé ezzel a varázslatos kék fényfüggönnyel – rendeljen most, és teremtsen ünnepi hangulatot kültéren és beltéren egyaránt!</t>
        </is>
      </c>
    </row>
    <row r="2418">
      <c r="A2418" s="3" t="inlineStr">
        <is>
          <t>KKF 158/WH</t>
        </is>
      </c>
      <c r="B2418" s="2" t="inlineStr">
        <is>
          <t>Home KKF 158/WH LED-es fényfüggöny, 5 m / 150 db hidegfehér LED, 8 fényprogram, fehér vezeték, hálózati adapter, kül- és beltéri kivitel</t>
        </is>
      </c>
      <c r="C2418" s="1" t="n">
        <v>8990.0</v>
      </c>
      <c r="D2418" s="7" t="n">
        <f>HYPERLINK("https://www.somogyi.hu/product/home-kkf-158-wh-led-es-fenyfuggony-5-m-150-db-hidegfeher-led-8-fenyprogram-feher-vezetek-halozati-adapter-kul-es-belteri-kivitel-kkf-158-wh-16968","https://www.somogyi.hu/product/home-kkf-158-wh-led-es-fenyfuggony-5-m-150-db-hidegfeher-led-8-fenyprogram-feher-vezetek-halozati-adapter-kul-es-belteri-kivitel-kkf-158-wh-16968")</f>
        <v>0.0</v>
      </c>
      <c r="E2418" s="7" t="n">
        <f>HYPERLINK("https://www.somogyi.hu/data/img/product_main_images/small/16968.jpg","https://www.somogyi.hu/data/img/product_main_images/small/16968.jpg")</f>
        <v>0.0</v>
      </c>
      <c r="F2418" s="2" t="inlineStr">
        <is>
          <t>5999084950002</t>
        </is>
      </c>
      <c r="G2418" s="4" t="inlineStr">
        <is>
          <t>Hozza el a téli varázst otthonába az KKF 158/WH LED-es jégcsap függönyével! Ezzel a lenyűgöző fényfüzérrel kül- és beltéren is megalapozhatja a hangulatot.
A 150 LED fényes ragyogása és a hidegfehér színhőmérséklet egyszerre adja meg az igazi ünnepi érzést. Az 5 méter hosszú függöny fehér vezetéke elegánsan illeszkedik a környezetbe. A 8 program, a memóriás funkció és a választható időzítési módok teszik lehetővé, hogy a fények mindig a kívánt módon világítsanak. A folyamatos üzemmód vagy a 6 óra bekapcsolt és 18 óra kikapcsolt állapotú ismétlődő időzítés kényelmes megoldást kínál. Az KKF 158/WH jégcsap függönyéhez kültéri IP44-es hálózati adapter tartozik, így a fények mindig stabilan és biztonságosan működhetnek.
Hagyja, hogy az ünnepi fények megelevenítsék otthonát, és teremtsen varázslatos légkört minden alkalomra!</t>
        </is>
      </c>
    </row>
    <row r="2419">
      <c r="A2419" s="3" t="inlineStr">
        <is>
          <t>KAF 200L 10M/BL</t>
        </is>
      </c>
      <c r="B2419" s="2" t="inlineStr">
        <is>
          <t>Home KAF 200L 10M/BL LED-es fényfüggöny, 8 programos, 10m, IP44, 230V</t>
        </is>
      </c>
      <c r="C2419" s="1" t="n">
        <v>10690.0</v>
      </c>
      <c r="D2419" s="7" t="n">
        <f>HYPERLINK("https://www.somogyi.hu/product/home-kaf-200l-10m-bl-led-es-fenyfuggony-8-programos-10m-ip44-230v-kaf-200l-10m-bl-13977","https://www.somogyi.hu/product/home-kaf-200l-10m-bl-led-es-fenyfuggony-8-programos-10m-ip44-230v-kaf-200l-10m-bl-13977")</f>
        <v>0.0</v>
      </c>
      <c r="E2419" s="7" t="n">
        <f>HYPERLINK("https://www.somogyi.hu/data/img/product_main_images/small/13977.jpg","https://www.somogyi.hu/data/img/product_main_images/small/13977.jpg")</f>
        <v>0.0</v>
      </c>
      <c r="F2419" s="2" t="inlineStr">
        <is>
          <t>5999084920296</t>
        </is>
      </c>
      <c r="G2419" s="4" t="inlineStr">
        <is>
          <t>Szeretne egy olyan dekorációt, amely kültéren és beltéren is elegáns, ünnepi hangulatot teremt? A Home KAF 200L 10M/BL LED-es fényfüggöny tökéletes megoldás, ha káprázatos kék fényekkel szeretné feldíszíteni otthonát.
Ez a 10 méter hosszú fényfüggöny 200 darab ragyogó kék LED-del világít, amelyek meleg, mégis modern hatást keltenek bármely környezetben. A 8 programos fényvezérlővel változatos fényhatásokat állíthat be, legyen az pislákolás, villogás vagy folyamatos világítás, és a memóriás funkciónak köszönhetően a fényfüggöny mindig megjegyzi az utolsó beállítást. A fehér vezeték szinte láthatatlanná válik, így csak a LED-ek fénye ragyog. A tartozék IP44-es kültéri adapter biztonságos használatot biztosít mind kültéren, mind beltéren. A 10 méteres füzér hossza tökéletes nagyobb területek, mint például homlokzatok, ablakok vagy kerítések díszítésére, míg az 5 méteres tápvezeték gondoskodik a kényelmes elhelyezésről.
Tegye otthonát különlegessé ezzel a varázslatos kék fényfüggönnyel – rendeljen most, és teremtsen ünnepi hangulatot kültéren és beltéren egyaránt!</t>
        </is>
      </c>
    </row>
    <row r="2420">
      <c r="A2420" s="3" t="inlineStr">
        <is>
          <t>KKF 158/WW</t>
        </is>
      </c>
      <c r="B2420" s="2" t="inlineStr">
        <is>
          <t>Home KKF 158/WW LED-es fényfüggöny, 5 m / 150 db melegfehér LED, 8 fényprogram, fehér vezeték, hálózati adapter, kül- és beltéri kivitel</t>
        </is>
      </c>
      <c r="C2420" s="1" t="n">
        <v>8990.0</v>
      </c>
      <c r="D2420" s="7" t="n">
        <f>HYPERLINK("https://www.somogyi.hu/product/home-kkf-158-ww-led-es-fenyfuggony-5-m-150-db-melegfeher-led-8-fenyprogram-feher-vezetek-halozati-adapter-kul-es-belteri-kivitel-kkf-158-ww-16967","https://www.somogyi.hu/product/home-kkf-158-ww-led-es-fenyfuggony-5-m-150-db-melegfeher-led-8-fenyprogram-feher-vezetek-halozati-adapter-kul-es-belteri-kivitel-kkf-158-ww-16967")</f>
        <v>0.0</v>
      </c>
      <c r="E2420" s="7" t="n">
        <f>HYPERLINK("https://www.somogyi.hu/data/img/product_main_images/small/16967.jpg","https://www.somogyi.hu/data/img/product_main_images/small/16967.jpg")</f>
        <v>0.0</v>
      </c>
      <c r="F2420" s="2" t="inlineStr">
        <is>
          <t>5999084949990</t>
        </is>
      </c>
      <c r="G2420" s="4" t="inlineStr">
        <is>
          <t>Hozza el a téli varázst otthonába az KKF 158/WW LED-es jégcsap függönyével! Ezzel a lenyűgöző fényfüzérrel kül- és beltéren is megalapozhatja a hangulatot.
A 150 LED fényes ragyogása és a melegfehér színhőmérséklet egyszerre adja meg az igazi ünnepi érzést. Az 5 méter hosszú függöny fehér vezetéke elegánsan illeszkedik a környezetbe. A 8 program, a memóriás funkció és a választható időzítési módok teszik lehetővé, hogy a fények mindig a kívánt módon világítsanak. A folyamatos üzemmód vagy a 6 óra bekapcsolt és 18 óra kikapcsolt állapotú ismétlődő időzítés kényelmes megoldást kínál. Az KKF 158/WW jégcsap függönyéhez kültéri IP44-es hálózati adapter tartozik, így a fények mindig stabilan és biztonságosan működhetnek.
Hagyja, hogy az ünnepi fények megelevenítsék otthonát, és teremtsen varázslatos légkört minden alkalomra!</t>
        </is>
      </c>
    </row>
    <row r="2421">
      <c r="A2421" s="3" t="inlineStr">
        <is>
          <t>KAF 210LC</t>
        </is>
      </c>
      <c r="B2421" s="2" t="inlineStr">
        <is>
          <t>Home KAF 210LC LED-es fényfüggöny, 2x1 m / 210 db hidegfehér LED, fehér vezeték, állófényű, hálózati adapter, kül- és beltéri kivitel</t>
        </is>
      </c>
      <c r="C2421" s="1" t="n">
        <v>10990.0</v>
      </c>
      <c r="D2421" s="7" t="n">
        <f>HYPERLINK("https://www.somogyi.hu/product/home-kaf-210lc-led-es-fenyfuggony-2x1-m-210-db-hidegfeher-led-feher-vezetek-allofenyu-halozati-adapter-kul-es-belteri-kivitel-kaf-210lc-15570","https://www.somogyi.hu/product/home-kaf-210lc-led-es-fenyfuggony-2x1-m-210-db-hidegfeher-led-feher-vezetek-allofenyu-halozati-adapter-kul-es-belteri-kivitel-kaf-210lc-15570")</f>
        <v>0.0</v>
      </c>
      <c r="E2421" s="7" t="n">
        <f>HYPERLINK("https://www.somogyi.hu/data/img/product_main_images/small/15570.jpg","https://www.somogyi.hu/data/img/product_main_images/small/15570.jpg")</f>
        <v>0.0</v>
      </c>
      <c r="F2421" s="2" t="inlineStr">
        <is>
          <t>5999084936044</t>
        </is>
      </c>
      <c r="G2421" s="4" t="inlineStr">
        <is>
          <t>Egy varázslatos fényfüggönyt keres, amely kültéri és beltéri díszítésre is tökéletes? A Home KAF 210LC LED-es fényfüggöny ideális választás, ha különleges hangulatot szeretne teremteni otthonában vagy kertjében. 
Ez a lenyűgöző fényfüggöny 21 füzérből áll, amelyek összesen 210 hidegfehér LED-et tartalmaznak, hogy igazán ragyogó fényhatást biztosítsanak. Az állófényű LED-ek folyamatos, egyenletes fényt nyújtanak, amely kiemeli a dekoráció szépségét. A fényfüggöny fehér vezetéke diszkréten olvad bele a környezetébe, míg a 2 méter hosszúságú füzérek és a 5 méteres tápvezeték biztosítják a könnyű és rugalmas elhelyezést. A termékhez tartozó IP44-es kültéri hálózati adapter lehetővé teszi a biztonságos használatot mind beltéren, mind kültéren, ellenállva az időjárási viszontagságoknak.
Teremtsen lenyűgöző ünnepi hangulatot a Home KAF 210LC LED-es fényfüggönnyel! Rendelje meg most, és élvezze a ragyogó fények csodáját otthonában vagy kertjében!</t>
        </is>
      </c>
    </row>
    <row r="2422">
      <c r="A2422" s="3" t="inlineStr">
        <is>
          <t>KIN 294C/WH</t>
        </is>
      </c>
      <c r="B2422" s="2" t="inlineStr">
        <is>
          <t>Home KIN 294C/WH LED-es fényfüggöny, 2x1,4 m / 294 db hidegfehér LED, fehér vezeték, állófényű, hálózati adapter, kül- és beltéri kivitel</t>
        </is>
      </c>
      <c r="C2422" s="1" t="n">
        <v>11890.0</v>
      </c>
      <c r="D2422" s="7" t="n">
        <f>HYPERLINK("https://www.somogyi.hu/product/home-kin-294c-wh-led-es-fenyfuggony-2x1-4-m-294-db-hidegfeher-led-feher-vezetek-allofenyu-halozati-adapter-kul-es-belteri-kivitel-kin-294c-wh-18138","https://www.somogyi.hu/product/home-kin-294c-wh-led-es-fenyfuggony-2x1-4-m-294-db-hidegfeher-led-feher-vezetek-allofenyu-halozati-adapter-kul-es-belteri-kivitel-kin-294c-wh-18138")</f>
        <v>0.0</v>
      </c>
      <c r="E2422" s="7" t="n">
        <f>HYPERLINK("https://www.somogyi.hu/data/img/product_main_images/small/18138.jpg","https://www.somogyi.hu/data/img/product_main_images/small/18138.jpg")</f>
        <v>0.0</v>
      </c>
      <c r="F2422" s="2" t="inlineStr">
        <is>
          <t>5999084961602</t>
        </is>
      </c>
      <c r="G2422" s="4" t="inlineStr">
        <is>
          <t>Varázsoljon meghitt hangulatot otthonába a KIN 294C/WH LED-es függönyével! Legyen kreatív a fényekkel, és teremtse meg az ideális atmoszférát kül- és beltéren egyaránt.
A 294 hidegfehér, állófényű LED-ből álló fényfüggöny a tökéletes választás a meghittség és a fények harmóniájához. Az egységesen ragyogó fényeket az egyenként 14 LED-et tartalmazó 21 füzér alkotja. A fehér vezeték finom és elegáns megjelenést kölcsönöz a függönynek. A kültéri IP44-es hálózati adapter biztosítja a stabil és megbízható tápellátást.
Ne habozzon, tegyen egy lépést a meghitt hangulat felé a KIN 294C/WH LED-es függönyével! Teremtsen varázslatos fényeket otthonába, és élvezze az ünnepi hangulatot!</t>
        </is>
      </c>
    </row>
    <row r="2423">
      <c r="A2423" s="3" t="inlineStr">
        <is>
          <t>KIN 294C/WW</t>
        </is>
      </c>
      <c r="B2423" s="2" t="inlineStr">
        <is>
          <t>Home KIN 294C/WW LED-es fényfüggöny, 2x1,4 m / 294 db melegfehér LED, fehér vezeték, állófényű, hálózati adapter, kül- és beltéri kivitel</t>
        </is>
      </c>
      <c r="C2423" s="1" t="n">
        <v>11890.0</v>
      </c>
      <c r="D2423" s="7" t="n">
        <f>HYPERLINK("https://www.somogyi.hu/product/home-kin-294c-ww-led-es-fenyfuggony-2x1-4-m-294-db-melegfeher-led-feher-vezetek-allofenyu-halozati-adapter-kul-es-belteri-kivitel-kin-294c-ww-18139","https://www.somogyi.hu/product/home-kin-294c-ww-led-es-fenyfuggony-2x1-4-m-294-db-melegfeher-led-feher-vezetek-allofenyu-halozati-adapter-kul-es-belteri-kivitel-kin-294c-ww-18139")</f>
        <v>0.0</v>
      </c>
      <c r="E2423" s="7" t="n">
        <f>HYPERLINK("https://www.somogyi.hu/data/img/product_main_images/small/18139.jpg","https://www.somogyi.hu/data/img/product_main_images/small/18139.jpg")</f>
        <v>0.0</v>
      </c>
      <c r="F2423" s="2" t="inlineStr">
        <is>
          <t>5999084961619</t>
        </is>
      </c>
      <c r="G2423" s="4" t="inlineStr">
        <is>
          <t>Varázsoljon meghitt hangulatot otthonába a KIN 294C/WW LED-es függönyével! Legyen kreatív a fényekkel, és teremtse meg az ideális atmoszférát kül- és beltéren egyaránt.
A 294 melegfehér, állófényű LED-ből álló fényfüggöny a tökéletes választás a meghittség és a fények harmóniájához. Az egységesen ragyogó fényeket az egyenként 14 LED-et tartalmazó 21 füzér alkotja. A fehér vezeték finom és elegáns megjelenést kölcsönöz a függönynek. A kültéri IP44-es hálózati adapter biztosítja a stabil és megbízható tápellátást.
Ne habozzon, tegyen egy lépést a meghitt hangulat felé a KIN 294C/WW LED-es függönyével! Teremtsen varázslatos fényeket otthonába, és élvezze az ünnepi hangulatot!</t>
        </is>
      </c>
    </row>
    <row r="2424">
      <c r="A2424" s="3" t="inlineStr">
        <is>
          <t>KAF200DWW</t>
        </is>
      </c>
      <c r="B2424" s="2" t="inlineStr">
        <is>
          <t>Home KAF200DWW DOT LED-es fényfüggöny, kül- és beltéri kivitel, 200db melegfehér LED, 2m x 2 m, választható ismétlődő időzítés</t>
        </is>
      </c>
      <c r="C2424" s="1" t="n">
        <v>6990.0</v>
      </c>
      <c r="D2424" s="7" t="n">
        <f>HYPERLINK("https://www.somogyi.hu/product/home-kaf200dww-dot-led-es-fenyfuggony-kul-es-belteri-kivitel-200db-melegfeher-led-2m-x-2-m-valaszthato-ismetlodo-idozites-kaf200dww-18606","https://www.somogyi.hu/product/home-kaf200dww-dot-led-es-fenyfuggony-kul-es-belteri-kivitel-200db-melegfeher-led-2m-x-2-m-valaszthato-ismetlodo-idozites-kaf200dww-18606")</f>
        <v>0.0</v>
      </c>
      <c r="E2424" s="7" t="n">
        <f>HYPERLINK("https://www.somogyi.hu/data/img/product_main_images/small/18606.jpg","https://www.somogyi.hu/data/img/product_main_images/small/18606.jpg")</f>
        <v>0.0</v>
      </c>
      <c r="F2424" s="2" t="inlineStr">
        <is>
          <t>5999084966249</t>
        </is>
      </c>
      <c r="G2424" s="4" t="inlineStr">
        <is>
          <t>Hogyan varázsolhat ünnepi hangulatot otthonába? Képzelje el, milyen varázslatos hangulatot teremthet otthonában ezzel a 200 db melegfehér LED-del ellátott fényfüggönnyel! 
A Home KAF200DWW DOT LED-es fényfüggöny tökéletes választás, legyen szó beltéri vagy kültéri használatról, hiszen IP44 védettségű hálózati adaptere megbízhatóan működik bármilyen időjárási körülmények között. Ez a 2x2 méteres fényfüggöny 10 füzérből áll, melyek között 20 cm távolság található, a LED-ek közötti távolság pedig mindössze 10 cm, így sűrű, egységes fényhatást biztosít. Az átlátszó vezetékek diszkréten simulnak a környezetbe, így a fények érvényesülhetnek igazán.
Az igazán különleges élményt a nyolc különböző világítási mód garantálja, amely egyedi hangulatot varázsol bármilyen alkalomra. Ráadásul a fényfüggöny memória funkcióval rendelkezik, így az Ön által kiválasztott világítási módot megjegyzi, és minden bekapcsoláskor újra alkalmazza. A praktikus időzítési lehetőségnek köszönhetően a fényfüggöny automatikusan szabályozható (6 óra bekapcsolva, 18 óra kikapcsolva), így Önnek semmilyen teendője nincs vele. A 5 méteres tápvezeték könnyedén lehetővé teszi, hogy távolabbi helyekre is kényelmesen elérjen a csatlakozó.
Ne habozzon! Tegye otthonát ragyogóvá és különlegessé a Home KAF200DWW DOT LED-es fényfüggönnyel, és élvezze a meghitt hangulatot minden nap!</t>
        </is>
      </c>
    </row>
    <row r="2425">
      <c r="A2425" s="3" t="inlineStr">
        <is>
          <t>KKF 608/WW</t>
        </is>
      </c>
      <c r="B2425" s="2" t="inlineStr">
        <is>
          <t>Home KKF 608/WW LED-es fényfüggöny, 20 m / 600 db melegfehér LED, 8 fényprogram, fehér vezeték, hálózati adapter, kül- és beltéri kivitel</t>
        </is>
      </c>
      <c r="C2425" s="1" t="n">
        <v>23190.0</v>
      </c>
      <c r="D2425" s="7" t="n">
        <f>HYPERLINK("https://www.somogyi.hu/product/home-kkf-608-ww-led-es-fenyfuggony-20-m-600-db-melegfeher-led-8-fenyprogram-feher-vezetek-halozati-adapter-kul-es-belteri-kivitel-kkf-608-ww-16965","https://www.somogyi.hu/product/home-kkf-608-ww-led-es-fenyfuggony-20-m-600-db-melegfeher-led-8-fenyprogram-feher-vezetek-halozati-adapter-kul-es-belteri-kivitel-kkf-608-ww-16965")</f>
        <v>0.0</v>
      </c>
      <c r="E2425" s="7" t="n">
        <f>HYPERLINK("https://www.somogyi.hu/data/img/product_main_images/small/16965.jpg","https://www.somogyi.hu/data/img/product_main_images/small/16965.jpg")</f>
        <v>0.0</v>
      </c>
      <c r="F2425" s="2" t="inlineStr">
        <is>
          <t>5999084949976</t>
        </is>
      </c>
      <c r="G2425" s="4" t="inlineStr">
        <is>
          <t>Hozza el a téli varázst otthonába az KKF 608/WW LED-es jégcsap függönyével! Ezzel a lenyűgöző fényfüzérrel kül- és beltéren is megalapozhatja a hangulatot.
A 600 LED fényes ragyogása és a melegfehér színhőmérséklet egyszerre adja meg az igazi ünnepi érzést. Az 20 méter hosszú függöny fehér vezetéke elegánsan illeszkedik a környezetbe. A 8 program, a memóriás funkció és a választható időzítési módok teszik lehetővé, hogy a fények mindig a kívánt módon világítsanak. A folyamatos üzemmód vagy a 6 óra bekapcsolt és 18 óra kikapcsolt állapotú ismétlődő időzítés kényelmes megoldást kínál. Az KKF 608/WW jégcsap függönyéhez kültéri IP44-es hálózati adapter tartozik, így a fények mindig stabilan és biztonságosan működhetnek.
Hagyja, hogy az ünnepi fények megelevenítsék otthonát, és teremtsen varázslatos légkört minden alkalomra!</t>
        </is>
      </c>
    </row>
    <row r="2426">
      <c r="A2426" s="3" t="inlineStr">
        <is>
          <t>KKF 308/WW</t>
        </is>
      </c>
      <c r="B2426" s="2" t="inlineStr">
        <is>
          <t>Home KKF 308/WW LED-es fényfüggöny, 10 m / 300 db melegfehér LED, 8 fényprogram, fehér vezeték, hálózati adapter, kül- és beltéri kivitel</t>
        </is>
      </c>
      <c r="C2426" s="1" t="n">
        <v>13290.0</v>
      </c>
      <c r="D2426" s="7" t="n">
        <f>HYPERLINK("https://www.somogyi.hu/product/home-kkf-308-ww-led-es-fenyfuggony-10-m-300-db-melegfeher-led-8-fenyprogram-feher-vezetek-halozati-adapter-kul-es-belteri-kivitel-kkf-308-ww-16961","https://www.somogyi.hu/product/home-kkf-308-ww-led-es-fenyfuggony-10-m-300-db-melegfeher-led-8-fenyprogram-feher-vezetek-halozati-adapter-kul-es-belteri-kivitel-kkf-308-ww-16961")</f>
        <v>0.0</v>
      </c>
      <c r="E2426" s="7" t="n">
        <f>HYPERLINK("https://www.somogyi.hu/data/img/product_main_images/small/16961.jpg","https://www.somogyi.hu/data/img/product_main_images/small/16961.jpg")</f>
        <v>0.0</v>
      </c>
      <c r="F2426" s="2" t="inlineStr">
        <is>
          <t>5999084949938</t>
        </is>
      </c>
      <c r="G2426" s="4" t="inlineStr">
        <is>
          <t>Hozza el a téli varázst otthonába az KKF 308/WW LED-es jégcsap függönyével! Ezzel a lenyűgöző fényfüzérrel kül- és beltéren is megalapozhatja a hangulatot.
A 300 LED fényes ragyogása és a melegfehér színhőmérséklet egyszerre adja meg az igazi ünnepi érzést. Az 10 méter hosszú függöny fehér vezetéke elegánsan illeszkedik a környezetbe. A 8 program, a memóriás funkció és a választható időzítési módok teszik lehetővé, hogy a fények mindig a kívánt módon világítsanak. A folyamatos üzemmód vagy a 6 óra bekapcsolt és 18 óra kikapcsolt állapotú ismétlődő időzítés kényelmes megoldást kínál. Az KKF 308/WW jégcsap függönyéhez kültéri IP44-es hálózati adapter tartozik, így a fények mindig stabilan és biztonságosan működhetnek.
Hagyja, hogy az ünnepi fények megelevenítsék otthonát, és teremtsen varázslatos légkört minden alkalomra!</t>
        </is>
      </c>
    </row>
    <row r="2427">
      <c r="A2427" s="3" t="inlineStr">
        <is>
          <t>KKF 308/M</t>
        </is>
      </c>
      <c r="B2427" s="2" t="inlineStr">
        <is>
          <t>Home KKF 308/M LED-es fényfüggöny, 10 m / 300 db színes LED, 8 fényprogram, fehér vezeték, hálózati adapter, kül- és beltéri kivitel</t>
        </is>
      </c>
      <c r="C2427" s="1" t="n">
        <v>13290.0</v>
      </c>
      <c r="D2427" s="7" t="n">
        <f>HYPERLINK("https://www.somogyi.hu/product/home-kkf-308-m-led-es-fenyfuggony-10-m-300-db-szines-led-8-fenyprogram-feher-vezetek-halozati-adapter-kul-es-belteri-kivitel-kkf-308-m-16962","https://www.somogyi.hu/product/home-kkf-308-m-led-es-fenyfuggony-10-m-300-db-szines-led-8-fenyprogram-feher-vezetek-halozati-adapter-kul-es-belteri-kivitel-kkf-308-m-16962")</f>
        <v>0.0</v>
      </c>
      <c r="E2427" s="7" t="n">
        <f>HYPERLINK("https://www.somogyi.hu/data/img/product_main_images/small/16962.jpg","https://www.somogyi.hu/data/img/product_main_images/small/16962.jpg")</f>
        <v>0.0</v>
      </c>
      <c r="F2427" s="2" t="inlineStr">
        <is>
          <t>5999084949945</t>
        </is>
      </c>
      <c r="G2427" s="4" t="inlineStr">
        <is>
          <t>Hozza el a téli varázst otthonába az KKF 308/M LED-es jégcsap függönyével! Ezzel a lenyűgöző fényfüzérrel kül- és beltéren is megalapozhatja a hangulatot.
A 300 LED fényes ragyogása és a többféle szín egyszerre adja meg az igazi ünnepi érzést. Az 10 méter hosszú függöny fehér vezetéke elegánsan illeszkedik a környezetbe. A 8 program, a memóriás funkció és a választható időzítési módok teszik lehetővé, hogy a fények mindig a kívánt módon világítsanak. A folyamatos üzemmód vagy a 6 óra bekapcsolt és 18 óra kikapcsolt állapotú ismétlődő időzítés kényelmes megoldást kínál. Az KKF 308/M jégcsap függönyéhez kültéri IP44-es hálózati adapter tartozik, így a fények mindig stabilan és biztonságosan működhetnek.
Hagyja, hogy az ünnepi fények megelevenítsék otthonát, és teremtsen varázslatos légkört minden alkalomra!</t>
        </is>
      </c>
    </row>
    <row r="2428">
      <c r="A2428" s="3" t="inlineStr">
        <is>
          <t>KKF 308/WH</t>
        </is>
      </c>
      <c r="B2428" s="2" t="inlineStr">
        <is>
          <t>Home KKF 308/WH LED-es fényfüggöny, 10 m / 300 db hidegfehér LED, 8 fényprogram, fehér vezeték, hálózati adapter, kül- és beltéri kivitel</t>
        </is>
      </c>
      <c r="C2428" s="1" t="n">
        <v>13290.0</v>
      </c>
      <c r="D2428" s="7" t="n">
        <f>HYPERLINK("https://www.somogyi.hu/product/home-kkf-308-wh-led-es-fenyfuggony-10-m-300-db-hidegfeher-led-8-fenyprogram-feher-vezetek-halozati-adapter-kul-es-belteri-kivitel-kkf-308-wh-16960","https://www.somogyi.hu/product/home-kkf-308-wh-led-es-fenyfuggony-10-m-300-db-hidegfeher-led-8-fenyprogram-feher-vezetek-halozati-adapter-kul-es-belteri-kivitel-kkf-308-wh-16960")</f>
        <v>0.0</v>
      </c>
      <c r="E2428" s="7" t="n">
        <f>HYPERLINK("https://www.somogyi.hu/data/img/product_main_images/small/16960.jpg","https://www.somogyi.hu/data/img/product_main_images/small/16960.jpg")</f>
        <v>0.0</v>
      </c>
      <c r="F2428" s="2" t="inlineStr">
        <is>
          <t>5999084949921</t>
        </is>
      </c>
      <c r="G2428" s="4" t="inlineStr">
        <is>
          <t>Hozza el a téli varázst otthonába az KKF 308/WH LED-es jégcsap függönyével! Ezzel a lenyűgöző fényfüzérrel kül- és beltéren is megalapozhatja a hangulatot.
A 300 LED fényes ragyogása és a hidegfehér színhőmérséklet egyszerre adja meg az igazi ünnepi érzést. Az 10 méter hosszú függöny fehér vezetéke elegánsan illeszkedik a környezetbe. A 8 program, a memóriás funkció és a választható időzítési módok teszik lehetővé, hogy a fények mindig a kívánt módon világítsanak. A folyamatos üzemmód vagy a 6 óra bekapcsolt és 18 óra kikapcsolt állapotú ismétlődő időzítés kényelmes megoldást kínál. Az KKF 308/WH jégcsap függönyéhez kültéri IP44-es hálózati adapter tartozik, így a fények mindig stabilan és biztonságosan működhetnek.
Hagyja, hogy az ünnepi fények megelevenítsék otthonát, és teremtsen varázslatos légkört minden alkalomra!</t>
        </is>
      </c>
    </row>
    <row r="2429">
      <c r="A2429" s="3" t="inlineStr">
        <is>
          <t>KAF 50C LED/WW</t>
        </is>
      </c>
      <c r="B2429" s="2" t="inlineStr">
        <is>
          <t>Home KAF 50C LED/WW LED-es fényfüggöny, 0,81 m / 50 db melegfehér LED,  fehér vezeték, álló fényű, hálózati adapter, beltéri kivitel</t>
        </is>
      </c>
      <c r="C2429" s="1" t="n">
        <v>4890.0</v>
      </c>
      <c r="D2429" s="7" t="n">
        <f>HYPERLINK("https://www.somogyi.hu/product/home-kaf-50c-led-ww-led-es-fenyfuggony-0-81-m-50-db-melegfeher-led-feher-vezetek-allo-fenyu-halozati-adapter-belteri-kivitel-kaf-50c-led-ww-16148","https://www.somogyi.hu/product/home-kaf-50c-led-ww-led-es-fenyfuggony-0-81-m-50-db-melegfeher-led-feher-vezetek-allo-fenyu-halozati-adapter-belteri-kivitel-kaf-50c-led-ww-16148")</f>
        <v>0.0</v>
      </c>
      <c r="E2429" s="7" t="n">
        <f>HYPERLINK("https://www.somogyi.hu/data/img/product_main_images/small/16148.jpg","https://www.somogyi.hu/data/img/product_main_images/small/16148.jpg")</f>
        <v>0.0</v>
      </c>
      <c r="F2429" s="2" t="inlineStr">
        <is>
          <t>5999084941802</t>
        </is>
      </c>
      <c r="G2429" s="4" t="inlineStr">
        <is>
          <t>Egy ragyogó fényfüggönyt keres otthona ünnepi díszítéséhez? A Home KAF 50C LED/WW LED-es fényfüggöny ideális választás beltéri dekorációhoz, hogy otthona fényben ússzon. 
Ez a fényfüggöny 50 melegfehér LED-ből áll, amely egyedülálló, tiszta fényt biztosít, így még varázslatosabbá teszi az ünnepi hangulatot. A fehér vezetékkel rendelkező fényfüggöny diszkréten simul a környezetbe, miközben a LED-ek ragyogása elbűvölő látványt nyújt. A LED-ek száma füzérenként változó (5/4/5/6/5/4/5/6/4/6), ami izgalmas és dinamikus megjelenést kölcsönöz a fényfüggönynek. A termék 230 V-os adapteres tápellátással működik, így könnyen és gyorsan üzembe helyezhető bármely beltéri helyiségben.
Teremtsen lenyűgöző ünnepi hangulatot a Home KAF 50C LED/WW LED-es fényfüggönnyel! Rendelje meg most, és élvezze a ragyogó, ünnepi fényeket otthonában!</t>
        </is>
      </c>
    </row>
    <row r="2430">
      <c r="A2430" s="3" t="inlineStr">
        <is>
          <t>KKF 908/WW</t>
        </is>
      </c>
      <c r="B2430" s="2" t="inlineStr">
        <is>
          <t>Home KKF 908/WW LED-es fényfüggöny, 30 m / 900 db melegfehér LED, 8 fényprogram, fehér vezeték, hálózati adapter, kül- és beltéri kivitel</t>
        </is>
      </c>
      <c r="C2430" s="1" t="n">
        <v>32990.0</v>
      </c>
      <c r="D2430" s="7" t="n">
        <f>HYPERLINK("https://www.somogyi.hu/product/home-kkf-908-ww-led-es-fenyfuggony-30-m-900-db-melegfeher-led-8-fenyprogram-feher-vezetek-halozati-adapter-kul-es-belteri-kivitel-kkf-908-ww-17328","https://www.somogyi.hu/product/home-kkf-908-ww-led-es-fenyfuggony-30-m-900-db-melegfeher-led-8-fenyprogram-feher-vezetek-halozati-adapter-kul-es-belteri-kivitel-kkf-908-ww-17328")</f>
        <v>0.0</v>
      </c>
      <c r="E2430" s="7" t="n">
        <f>HYPERLINK("https://www.somogyi.hu/data/img/product_main_images/small/17328.jpg","https://www.somogyi.hu/data/img/product_main_images/small/17328.jpg")</f>
        <v>0.0</v>
      </c>
      <c r="F2430" s="2" t="inlineStr">
        <is>
          <t>5999084953508</t>
        </is>
      </c>
      <c r="G2430" s="4" t="inlineStr">
        <is>
          <t>Hozza el a téli varázst otthonába az KKF 908/WW LED-es jégcsap függönyével! Ezzel a lenyűgöző fényfüzérrel kül- és beltéren is megalapozhatja a hangulatot.
A 900 LED fényes ragyogása és a melegfehér színhőmérséklet egyszerre adja meg az igazi ünnepi érzést. Az 30 méter hosszú függöny fehér vezetéke elegánsan illeszkedik a környezetbe. A 8 program, a memóriás funkció és a választható időzítési módok teszik lehetővé, hogy a fények mindig a kívánt módon világítsanak. A folyamatos üzemmód vagy a 6 óra bekapcsolt és 18 óra kikapcsolt állapotú ismétlődő időzítés kényelmes megoldást kínál. Az KKF 908/WW jégcsap függönyéhez kültéri IP44-es hálózati adapter tartozik, így a fények mindig stabilan és biztonságosan működhetnek.
Hagyja, hogy az ünnepi fények megelevenítsék otthonát, és teremtsen varázslatos légkört minden alkalomra!</t>
        </is>
      </c>
    </row>
    <row r="2431">
      <c r="A2431" s="3" t="inlineStr">
        <is>
          <t>KAF 50C LED/WH</t>
        </is>
      </c>
      <c r="B2431" s="2" t="inlineStr">
        <is>
          <t>Home KAF 50C LED/WH LED-es fényfüggöny, 0,81 m / 50 db hidegfehér LED,  fehér vezeték, álló fényű, hálózati adapter, beltéri kivitel</t>
        </is>
      </c>
      <c r="C2431" s="1" t="n">
        <v>4890.0</v>
      </c>
      <c r="D2431" s="7" t="n">
        <f>HYPERLINK("https://www.somogyi.hu/product/home-kaf-50c-led-wh-led-es-fenyfuggony-0-81-m-50-db-hidegfeher-led-feher-vezetek-allo-fenyu-halozati-adapter-belteri-kivitel-kaf-50c-led-wh-16147","https://www.somogyi.hu/product/home-kaf-50c-led-wh-led-es-fenyfuggony-0-81-m-50-db-hidegfeher-led-feher-vezetek-allo-fenyu-halozati-adapter-belteri-kivitel-kaf-50c-led-wh-16147")</f>
        <v>0.0</v>
      </c>
      <c r="E2431" s="7" t="n">
        <f>HYPERLINK("https://www.somogyi.hu/data/img/product_main_images/small/16147.jpg","https://www.somogyi.hu/data/img/product_main_images/small/16147.jpg")</f>
        <v>0.0</v>
      </c>
      <c r="F2431" s="2" t="inlineStr">
        <is>
          <t>5999084941796</t>
        </is>
      </c>
      <c r="G2431" s="4" t="inlineStr">
        <is>
          <t>Egy ragyogó fényfüggönyt keres otthona ünnepi díszítéséhez? A Home KAF 50C LED/WH LED-es fényfüggöny ideális választás beltéri dekorációhoz, hogy otthona fényben ússzon. 
Ez a fényfüggöny 50 hidegfehér LED-ből áll, amely egyedülálló, tiszta fényt biztosít, így még varázslatosabbá teszi az ünnepi hangulatot. A fehér vezetékkel rendelkező fényfüggöny diszkréten simul a környezetbe, miközben a LED-ek ragyogása elbűvölő látványt nyújt. A LED-ek száma füzérenként változó (5/4/5/6/5/4/5/6/4/6), ami izgalmas és dinamikus megjelenést kölcsönöz a fényfüggönynek. A termék 230 V-os adapteres tápellátással működik, így könnyen és gyorsan üzembe helyezhető bármely beltéri helyiségben.
Teremtsen lenyűgöző ünnepi hangulatot a Home KAF 50C LED/WH LED-es fényfüggönnyel! Rendelje meg most, és élvezze a ragyogó, ünnepi fényeket otthonában!</t>
        </is>
      </c>
    </row>
    <row r="2432">
      <c r="A2432" s="3" t="inlineStr">
        <is>
          <t>KAF200DWH</t>
        </is>
      </c>
      <c r="B2432" s="2" t="inlineStr">
        <is>
          <t>Home KAF200DWH DOT LED-es fényfüggöny, kül- és beltéri kivitel, 200db hidegfehér LED, 2m x 2 m, választható ismétlődő időzítés</t>
        </is>
      </c>
      <c r="C2432" s="1" t="n">
        <v>6990.0</v>
      </c>
      <c r="D2432" s="7" t="n">
        <f>HYPERLINK("https://www.somogyi.hu/product/home-kaf200dwh-dot-led-es-fenyfuggony-kul-es-belteri-kivitel-200db-hidegfeher-led-2m-x-2-m-valaszthato-ismetlodo-idozites-kaf200dwh-18610","https://www.somogyi.hu/product/home-kaf200dwh-dot-led-es-fenyfuggony-kul-es-belteri-kivitel-200db-hidegfeher-led-2m-x-2-m-valaszthato-ismetlodo-idozites-kaf200dwh-18610")</f>
        <v>0.0</v>
      </c>
      <c r="E2432" s="7" t="n">
        <f>HYPERLINK("https://www.somogyi.hu/data/img/product_main_images/small/18610.jpg","https://www.somogyi.hu/data/img/product_main_images/small/18610.jpg")</f>
        <v>0.0</v>
      </c>
      <c r="F2432" s="2" t="inlineStr">
        <is>
          <t>5999084966287</t>
        </is>
      </c>
      <c r="G2432" s="4" t="inlineStr">
        <is>
          <t>Hogyan varázsolhat ünnepi hangulatot otthonába? Képzelje el, milyen varázslatos hangulatot teremthet otthonában ezzel a 200 db hidegfehér LED-del ellátott fényfüggönnyel! 
A Home KAF200DWH DOT LED-es fényfüggöny tökéletes választás, legyen szó beltéri vagy kültéri használatról, hiszen IP44 védettségű hálózati adaptere megbízhatóan működik bármilyen időjárási körülmények között. Ez a 2x2 méteres fényfüggöny 10 füzérből áll, melyek között 20 cm távolság található, a LED-ek közötti távolság pedig mindössze 10 cm, így sűrű, egységes fényhatást biztosít. Az átlátszó vezetékek diszkréten simulnak a környezetbe, így a fények érvényesülhetnek igazán.
Az igazán különleges élményt a nyolc különböző világítási mód garantálja, amely egyedi hangulatot varázsol bármilyen alkalomra. Ráadásul a fényfüggöny memória funkcióval rendelkezik, így az Ön által kiválasztott világítási módot megjegyzi, és minden bekapcsoláskor újra alkalmazza. A praktikus időzítési lehetőségnek köszönhetően a fényfüggöny automatikusan szabályozható (6 óra bekapcsolva, 18 óra kikapcsolva), így Önnek semmilyen teendője nincs vele. A 5 méteres tápvezeték könnyedén lehetővé teszi, hogy távolabbi helyekre is kényelmesen elérjen a csatlakozó.
Ne habozzon! Tegye otthonát ragyogóvá és különlegessé a Home KAF200DWH DOT LED-es fényfüggönnyel, és élvezze a meghitt hangulatot minden nap!</t>
        </is>
      </c>
    </row>
    <row r="2433">
      <c r="A2433" s="3" t="inlineStr">
        <is>
          <t>KIN 126C/WW</t>
        </is>
      </c>
      <c r="B2433" s="2" t="inlineStr">
        <is>
          <t>Home KIN 126C/WW LED-es fényfüggöny, 0,9x1,4 m / 126 db melegfehér LED, fehér vezeték, állófényű, hálózati adapter, beltéri kivitel</t>
        </is>
      </c>
      <c r="C2433" s="1" t="n">
        <v>6390.0</v>
      </c>
      <c r="D2433" s="7" t="n">
        <f>HYPERLINK("https://www.somogyi.hu/product/home-kin-126c-ww-led-es-fenyfuggony-0-9x1-4-m-126-db-melegfeher-led-feher-vezetek-allofenyu-halozati-adapter-belteri-kivitel-kin-126c-ww-15624","https://www.somogyi.hu/product/home-kin-126c-ww-led-es-fenyfuggony-0-9x1-4-m-126-db-melegfeher-led-feher-vezetek-allofenyu-halozati-adapter-belteri-kivitel-kin-126c-ww-15624")</f>
        <v>0.0</v>
      </c>
      <c r="E2433" s="7" t="n">
        <f>HYPERLINK("https://www.somogyi.hu/data/img/product_main_images/small/15624.jpg","https://www.somogyi.hu/data/img/product_main_images/small/15624.jpg")</f>
        <v>0.0</v>
      </c>
      <c r="F2433" s="2" t="inlineStr">
        <is>
          <t>5999084936587</t>
        </is>
      </c>
      <c r="G2433" s="4" t="inlineStr">
        <is>
          <t>Szeretné otthonát ünnepi fényekkel díszíteni és varázslatos hangulatot teremteni? A Home KIN 126C/WW LED-es fényfüggöny tökéletes választás beltéri használatra, hogy otthona ragyogjon az ünnepek alatt. 
Ez a lenyűgöző fényfüggöny 126 melegfehér LED-ből áll, amelyek kilenc füzérre vannak elosztva, füzérenként 14 LED-del. A 90 cm hosszúságú füzérek könnyedén elhelyezhetők bármilyen beltéri környezetben, legyen szó nappaliról, hálószobáról, vagy akár egy ünnepi asztalról. A fényfüggöny 3 méter hosszú tápvezetékkel rendelkezik, így a hálózati adapter segítségével könnyen csatlakoztatható a hálózathoz, biztosítva a folyamatos és megbízható működést. A melegfehér fények ragyogó fénye meghitt és varázslatos atmoszférát teremt otthonában.
Hozza el az ünnepi csillogást otthonába a Home KIN 126C/WW LED-es fényfüggönnyel! Rendelje meg most, és élvezze a ragyogó fények varázsát minden nap!</t>
        </is>
      </c>
    </row>
    <row r="2434">
      <c r="A2434" s="3" t="inlineStr">
        <is>
          <t>KAF 300L 5M</t>
        </is>
      </c>
      <c r="B2434" s="2" t="inlineStr">
        <is>
          <t>Home KAF 300L 5M LED-es sziporkázó fényfüggöny, 5 m / 300 db sziporkázó melegfehér LED, fehér vezeték, hálózati adapter, kül- és beltéri kivitel</t>
        </is>
      </c>
      <c r="C2434" s="1" t="n">
        <v>17290.0</v>
      </c>
      <c r="D2434" s="7" t="n">
        <f>HYPERLINK("https://www.somogyi.hu/product/home-kaf-300l-5m-led-es-sziporkazo-fenyfuggony-5-m-300-db-sziporkazo-melegfeher-led-feher-vezetek-halozati-adapter-kul-es-belteri-kivitel-kaf-300l-5m-14727","https://www.somogyi.hu/product/home-kaf-300l-5m-led-es-sziporkazo-fenyfuggony-5-m-300-db-sziporkazo-melegfeher-led-feher-vezetek-halozati-adapter-kul-es-belteri-kivitel-kaf-300l-5m-14727")</f>
        <v>0.0</v>
      </c>
      <c r="E2434" s="7" t="n">
        <f>HYPERLINK("https://www.somogyi.hu/data/img/product_main_images/small/14727.jpg","https://www.somogyi.hu/data/img/product_main_images/small/14727.jpg")</f>
        <v>0.0</v>
      </c>
      <c r="F2434" s="2" t="inlineStr">
        <is>
          <t>5999084927691</t>
        </is>
      </c>
      <c r="G2434" s="4" t="inlineStr">
        <is>
          <t>Egy csillogó, ünnepi fényfüggönyt keres, amely varázslatos hangulatot teremt otthonában? A Home KAF 300L 5M LED-es sziporkázó fényfüggöny tökéletes választás kültéri és beltéri díszítéshez egyaránt. 
Ez a lenyűgöző fényfüggöny 300 melegfehér LED-ből áll, melyek minden második füzérben egy hidegfehér LED villogásával teszik még különlegesebbé az ünnepi fényt. A fehér vezetékkel rendelkező, 5 méter hosszúságú fényfüggöny harmonikusan illeszkedik bármilyen környezetbe, biztosítva a kellemes és meghitt hangulatot.
A fényfüggöny 230 V-os adapteres tápellátással működik, így egyszerűen csatlakoztatható a hálózathoz. Könnyedén használható különféle dekorációs célokra, legyen szó otthoni, kerti, vagy akár üzleti dekorációról.
Hozzon fényt és varázslatot otthonába a Home KAF 300L 5M LED-es sziporkázó fényfüggönnyel! Rendelje meg most, és élvezze a meghitt ünnepi hangulatot minden nap!</t>
        </is>
      </c>
    </row>
    <row r="2435">
      <c r="A2435" s="3" t="inlineStr">
        <is>
          <t>KIN 168C/WW</t>
        </is>
      </c>
      <c r="B2435" s="2" t="inlineStr">
        <is>
          <t>Home KIN 168C/WW LED-es fényfüggöny, 1,2x1,4 m / 168 db melegfehér LED, fehér vezeték, állófényű, hálózati adapter, beltéri kivitel</t>
        </is>
      </c>
      <c r="C2435" s="1" t="n">
        <v>7690.0</v>
      </c>
      <c r="D2435" s="7" t="n">
        <f>HYPERLINK("https://www.somogyi.hu/product/home-kin-168c-ww-led-es-fenyfuggony-1-2x1-4-m-168-db-melegfeher-led-feher-vezetek-allofenyu-halozati-adapter-belteri-kivitel-kin-168c-ww-15625","https://www.somogyi.hu/product/home-kin-168c-ww-led-es-fenyfuggony-1-2x1-4-m-168-db-melegfeher-led-feher-vezetek-allofenyu-halozati-adapter-belteri-kivitel-kin-168c-ww-15625")</f>
        <v>0.0</v>
      </c>
      <c r="E2435" s="7" t="n">
        <f>HYPERLINK("https://www.somogyi.hu/data/img/product_main_images/small/15625.jpg","https://www.somogyi.hu/data/img/product_main_images/small/15625.jpg")</f>
        <v>0.0</v>
      </c>
      <c r="F2435" s="2" t="inlineStr">
        <is>
          <t>5999084936594</t>
        </is>
      </c>
      <c r="G2435" s="4" t="inlineStr">
        <is>
          <t>Szeretné, ha otthona meleg, ünnepi fényekben ragyogna? A Home KIN 168C/WW LED-es fényfüggöny tökéletes választás beltéri dekorációhoz, hogy varázslatos hangulatot teremtsen az ünnepekre. 
Ez a fényfüggöny 168 melegfehér LED-ből áll, amelyek kellemes, meghitt fényt biztosítanak. A 12 füzér mindegyikén 14 LED található, így a teljes fényfüggöny hossza 1,2 méter, ami ideális bármilyen belső tér feldíszítésére. A fehér vezetékkel rendelkező fényfüggöny elegánsan simul bele a környezetbe, biztosítva, hogy csak a fények ragyogjanak.
A fényfüggöny 3 méter hosszú tápvezetékkel rendelkezik, így a beltéri hálózati adapter segítségével egyszerűen csatlakoztatható a hálózathoz, biztosítva a folyamatos és megbízható működést. A melegfehér LED-ek barátságos, otthonos atmoszférát teremtenek, tökéletes választás ünnepi dekorációhoz vagy akár egész éves használatra.
Hozza el a meleg, ünnepi fényeket otthonába a Home KIN 168C/WW LED-es fényfüggönnyel! Rendelje meg most, és élvezze a meghitt hangulatot minden nap!</t>
        </is>
      </c>
    </row>
    <row r="2436">
      <c r="A2436" s="6" t="inlineStr">
        <is>
          <t xml:space="preserve">   Dekorációs világítás / Fényfüggöny dekorációval</t>
        </is>
      </c>
      <c r="B2436" s="6" t="inlineStr">
        <is>
          <t/>
        </is>
      </c>
      <c r="C2436" s="6" t="inlineStr">
        <is>
          <t/>
        </is>
      </c>
      <c r="D2436" s="6" t="inlineStr">
        <is>
          <t/>
        </is>
      </c>
      <c r="E2436" s="6" t="inlineStr">
        <is>
          <t/>
        </is>
      </c>
      <c r="F2436" s="6" t="inlineStr">
        <is>
          <t/>
        </is>
      </c>
      <c r="G2436" s="6" t="inlineStr">
        <is>
          <t/>
        </is>
      </c>
    </row>
    <row r="2437">
      <c r="A2437" s="3" t="inlineStr">
        <is>
          <t>KAF 48L</t>
        </is>
      </c>
      <c r="B2437" s="2" t="inlineStr">
        <is>
          <t>Home KAF 48L LED-es csillag fényfüggöny, 1,5x1 m / 48 db hidegfehér LED csillag figurákban, átlátszó vezeték, hálózati adapter, beltéri kivitel</t>
        </is>
      </c>
      <c r="C2437" s="1" t="n">
        <v>7790.0</v>
      </c>
      <c r="D2437" s="7" t="n">
        <f>HYPERLINK("https://www.somogyi.hu/product/home-kaf-48l-led-es-csillag-fenyfuggony-1-5x1-m-48-db-hidegfeher-led-csillag-figurakban-atlatszo-vezetek-halozati-adapter-belteri-kivitel-kaf-48l-9851","https://www.somogyi.hu/product/home-kaf-48l-led-es-csillag-fenyfuggony-1-5x1-m-48-db-hidegfeher-led-csillag-figurakban-atlatszo-vezetek-halozati-adapter-belteri-kivitel-kaf-48l-9851")</f>
        <v>0.0</v>
      </c>
      <c r="E2437" s="7" t="n">
        <f>HYPERLINK("https://www.somogyi.hu/data/img/product_main_images/small/09851.jpg","https://www.somogyi.hu/data/img/product_main_images/small/09851.jpg")</f>
        <v>0.0</v>
      </c>
      <c r="F2437" s="2" t="inlineStr">
        <is>
          <t>5998312785737</t>
        </is>
      </c>
      <c r="G2437" s="4" t="inlineStr">
        <is>
          <t>Szeretné, ha otthona varázslatos csillagfényben ragyogna az ünnepek alatt? A Home KAF 48L LED-es csillag fényfüggöny tökéletes választás beltéri dekorációhoz, hogy meghitt és ünnepi hangulatot teremtsen. 
Ez a különleges fényfüggöny 48 hidegfehér LED-del van felszerelve, amelyek minden egyes 5 cm-es csillagban elhelyezkednek, így csillogó fényárban úszik majd az otthona. Az átlátszó vezeték diszkréten simul bele a környezetbe, hogy a csillagok ragyogása legyen a középpontban.
A fényfüggöny 1,5 méter hosszú, így ideális bármely beltéri helyiség díszítésére. A 230 V~/24 V adapterrel működő tápellátás és az 5 méteres tápvezeték biztosítja a könnyű és rugalmas elhelyezést. A hidegfehér fények tiszta, elegáns megjelenést kölcsönöznek, tökéletes választás az ünnepi dekorációhoz.
Hozza el a csillagok ragyogását otthonába a Home KAF 48L LED-es csillag fényfüggönnyel! Rendelje meg most, és élvezze a varázslatos fényeket minden nap!</t>
        </is>
      </c>
    </row>
    <row r="2438">
      <c r="A2438" s="3" t="inlineStr">
        <is>
          <t>KAF 50L</t>
        </is>
      </c>
      <c r="B2438" s="2" t="inlineStr">
        <is>
          <t>Home KAF 50L LED-es csillag fényfüggöny, 1,35 m / 50 db hidegfehér LED csillag figurákban, átlátszó vezeték, hálózati adapter, beltéri kivitel</t>
        </is>
      </c>
      <c r="C2438" s="1" t="n">
        <v>9890.0</v>
      </c>
      <c r="D2438" s="7" t="n">
        <f>HYPERLINK("https://www.somogyi.hu/product/home-kaf-50l-led-es-csillag-fenyfuggony-1-35-m-50-db-hidegfeher-led-csillag-figurakban-atlatszo-vezetek-halozati-adapter-belteri-kivitel-kaf-50l-11909","https://www.somogyi.hu/product/home-kaf-50l-led-es-csillag-fenyfuggony-1-35-m-50-db-hidegfeher-led-csillag-figurakban-atlatszo-vezetek-halozati-adapter-belteri-kivitel-kaf-50l-11909")</f>
        <v>0.0</v>
      </c>
      <c r="E2438" s="7" t="n">
        <f>HYPERLINK("https://www.somogyi.hu/data/img/product_main_images/small/11909.jpg","https://www.somogyi.hu/data/img/product_main_images/small/11909.jpg")</f>
        <v>0.0</v>
      </c>
      <c r="F2438" s="2" t="inlineStr">
        <is>
          <t>5999084901219</t>
        </is>
      </c>
      <c r="G2438" s="4" t="inlineStr">
        <is>
          <t>Szeretné otthonát mesebeli csillagfényben fürdetni az ünnepek alatt? A Home KAF 50L LED-es csillag fényfüggöny tökéletes választás beltéri dekorációhoz, hogy meghitt és ünnepi hangulatot varázsoljon otthonába. 
Ez a különleges fényfüggöny 50 hidegfehér LED-del rendelkezik, amelyek mindegyike egy-egy ragyogó csillagot világít meg. Az állófényű LED-ek biztosítják az egyenletes ragyogást, míg minden füzér legalsó csillaga villog, így izgalmas és dinamikus fényhatást kelt.
A fényfüggöny 1,35 méter hosszú, így könnyedén elhelyezhető bármely beltéri helyiségben, hogy különleges díszítést biztosítson. A 230 V~/24 V adapterrel működő tápellátás és az 5 méteres tápvezeték lehetővé teszi a könnyű és rugalmas elhelyezést, akár messzebb eső konnektorokhoz is. A hidegfehér fények elegáns, modern megjelenést kölcsönöznek, tökéletesen kiegészítve az ünnepi dekorációt.
Teremtsen varázslatos fényáradatot otthonában a Home KAF 50L LED-es csillag fényfüggönnyel! Rendelje meg most, és élvezze a csillogó ünnepi hangulatot minden nap!</t>
        </is>
      </c>
    </row>
    <row r="2439">
      <c r="A2439" s="3" t="inlineStr">
        <is>
          <t>KAF 11/WH</t>
        </is>
      </c>
      <c r="B2439" s="2" t="inlineStr">
        <is>
          <t>Home KAF 11/WH micro LED-es figurás fényfüggöny, 2 m / 186 db hidegfehér LED, harang / fenyő / csillag figurákkal, hálózati adapter, kül- és beltéri kivitel</t>
        </is>
      </c>
      <c r="C2439" s="1" t="n">
        <v>14390.0</v>
      </c>
      <c r="D2439" s="7" t="n">
        <f>HYPERLINK("https://www.somogyi.hu/product/home-kaf-11-wh-micro-led-es-figuras-fenyfuggony-2-m-186-db-hidegfeher-led-harang-fenyo-csillag-figurakkal-halozati-adapter-kul-es-belteri-kivitel-kaf-11-wh-17749","https://www.somogyi.hu/product/home-kaf-11-wh-micro-led-es-figuras-fenyfuggony-2-m-186-db-hidegfeher-led-harang-fenyo-csillag-figurakkal-halozati-adapter-kul-es-belteri-kivitel-kaf-11-wh-17749")</f>
        <v>0.0</v>
      </c>
      <c r="E2439" s="7" t="n">
        <f>HYPERLINK("https://www.somogyi.hu/data/img/product_main_images/small/17749.jpg","https://www.somogyi.hu/data/img/product_main_images/small/17749.jpg")</f>
        <v>0.0</v>
      </c>
      <c r="F2439" s="2" t="inlineStr">
        <is>
          <t>5999084957711</t>
        </is>
      </c>
      <c r="G2439" s="4" t="inlineStr">
        <is>
          <t>Hozzon melegséget és varázslatos fényeket otthonába a KAF 11/WH micro-LED-es függönnyel! Élje át az ünnepi hangulatot egyedülálló dizájnnal és ragyogó világítással! Emelje otthona fényét ezzel a lenyűgöző függönnyel, mely kül- és beltéren is meghitt hangulatot teremt.
A hidegfehér, csillogó 186 LED pontszerű fényei minden pillanatot meghitté varázsolnak. Az átlátszó vezeték elegánsan simul környezetébe. A 10 db világító füzér változatos figurákkal – harangokkal, fenyőkkel és csillagokkal – még egyedibbé teszi a fényfűzért. Ez az elegáns függöny kültéri IP44-es hálózati adapterrel működik, így bátran alkalmazható mindenhol.
Teremtsen melegséget otthonában a KAF 11/WH micro-LED-es függönyével, és élvezze az ünnepi varázslatot minden pillanatban!</t>
        </is>
      </c>
    </row>
    <row r="2440">
      <c r="A2440" s="3" t="inlineStr">
        <is>
          <t>KAF 11/WW</t>
        </is>
      </c>
      <c r="B2440" s="2" t="inlineStr">
        <is>
          <t>Home KAF 11/WW micro LED-es figurás fényfüggöny, 2 m / 186 db melegfehér LED, harang / fenyő / csillag figurákkal, hálózati adapter, kül- és beltéri kivitel</t>
        </is>
      </c>
      <c r="C2440" s="1" t="n">
        <v>14390.0</v>
      </c>
      <c r="D2440" s="7" t="n">
        <f>HYPERLINK("https://www.somogyi.hu/product/home-kaf-11-ww-micro-led-es-figuras-fenyfuggony-2-m-186-db-melegfeher-led-harang-fenyo-csillag-figurakkal-halozati-adapter-kul-es-belteri-kivitel-kaf-11-ww-17545","https://www.somogyi.hu/product/home-kaf-11-ww-micro-led-es-figuras-fenyfuggony-2-m-186-db-melegfeher-led-harang-fenyo-csillag-figurakkal-halozati-adapter-kul-es-belteri-kivitel-kaf-11-ww-17545")</f>
        <v>0.0</v>
      </c>
      <c r="E2440" s="7" t="n">
        <f>HYPERLINK("https://www.somogyi.hu/data/img/product_main_images/small/17545.jpg","https://www.somogyi.hu/data/img/product_main_images/small/17545.jpg")</f>
        <v>0.0</v>
      </c>
      <c r="F2440" s="2" t="inlineStr">
        <is>
          <t>5999084955670</t>
        </is>
      </c>
      <c r="G2440" s="4" t="inlineStr">
        <is>
          <t>Hozzon melegséget és varázslatos fényeket otthonába a KAF 11/WW micro-LED-es függönnyel! Élje át az ünnepi hangulatot egyedülálló dizájnnal és ragyogó világítással! Emelje otthona fényét ezzel a lenyűgöző függönnyel, mely kül- és beltéren is meghitt hangulatot teremt.
A melegfehér, csillogó 186 LED pontszerű fényei minden pillanatot meghitté varázsolnak. Az átlátszó vezeték elegánsan simul környezetébe. A 10 db világító füzér változatos figurákkal – harangokkal, fenyőkkel és csillagokkal – még egyedibbé teszi a fényfűzért. Ez az elegáns függöny kültéri IP44-es hálózati adapterrel működik, így bátran alkalmazható mindenhol.
Teremtsen melegséget otthonában a KAF 11/WW micro-LED-es függönyével, és élvezze az ünnepi varázslatot minden pillanatban!</t>
        </is>
      </c>
    </row>
    <row r="2441">
      <c r="A2441" s="3" t="inlineStr">
        <is>
          <t>KAF7WW</t>
        </is>
      </c>
      <c r="B2441" s="2" t="inlineStr">
        <is>
          <t>Home KAF7WW akril hópehely fényfüggöny, kül- és beltéri kivitel, 7 db melegfehér LED, szélesség 1,2 m</t>
        </is>
      </c>
      <c r="C2441" s="1" t="n">
        <v>7690.0</v>
      </c>
      <c r="D2441" s="7" t="n">
        <f>HYPERLINK("https://www.somogyi.hu/product/home-kaf7ww-akril-hopehely-fenyfuggony-kul-es-belteri-kivitel-7-db-melegfeher-led-szelesseg-1-2-m-kaf7ww-18586","https://www.somogyi.hu/product/home-kaf7ww-akril-hopehely-fenyfuggony-kul-es-belteri-kivitel-7-db-melegfeher-led-szelesseg-1-2-m-kaf7ww-18586")</f>
        <v>0.0</v>
      </c>
      <c r="E2441" s="7" t="n">
        <f>HYPERLINK("https://www.somogyi.hu/data/img/product_main_images/small/18586.jpg","https://www.somogyi.hu/data/img/product_main_images/small/18586.jpg")</f>
        <v>0.0</v>
      </c>
      <c r="F2441" s="2" t="inlineStr">
        <is>
          <t>5999084966041</t>
        </is>
      </c>
      <c r="G2441" s="4" t="inlineStr">
        <is>
          <t>Egy lenyűgöző fényfüggönyt keres, amely varázslatos téli hangulatot teremt otthonába vagy kertjébe? Ismerje meg a Home KAF7WW akril hópehely fényfüggönyt, amely 7 db melegfehér LED-del világítja meg környezetét, legyen szó kül- vagy beltéri használatról. 
Ez a fényfüggöny átlátszó vezetékkel és akasztófülekkel rendelkezik, így könnyedén rögzíthető bármilyen felületen. A fényfüggöny világítási módja állandó, biztosítva a folyamatos, hangulatos fényáradatot. A kültéri IP44-es hálózati adapter garantálja a biztonságos használatot akár esős időben is. A 1,2 méter széles füzér füzérek közti távolsága 20 cm, a legmélyebb lelógás pedig 1,1 méter, míg a legkisebb 20 cm, így különböző hosszúságú lelógásokkal teszi még varázslatosabbá a látványt. Az egyes hópelyhek átmérője 15 cm, így jól látható és mutatós dekorációt alkotnak. A tápkábel hossza az adapterig 3 méter, ami rugalmas elhelyezést tesz lehetővé.
Ne hagyja ki ezt a csodálatos fényfüggönyt! Rendelje meg a Home KAF7WW akril hópehely fényfüggönyt még ma, és varázsoljon mesés téli hangulatot otthonába vagy kertjébe!</t>
        </is>
      </c>
    </row>
    <row r="2442">
      <c r="A2442" s="3" t="inlineStr">
        <is>
          <t>KAF 50L/WW</t>
        </is>
      </c>
      <c r="B2442" s="2" t="inlineStr">
        <is>
          <t>Home KAF 50L/WW LED-es csillag fényfüggöny, 1,35 m / 50 db melegfehér LED csillag figurákban, átlátszó vezeték, hálózati adapter, beltéri kivitel</t>
        </is>
      </c>
      <c r="C2442" s="1" t="n">
        <v>9890.0</v>
      </c>
      <c r="D2442" s="7" t="n">
        <f>HYPERLINK("https://www.somogyi.hu/product/home-kaf-50l-ww-led-es-csillag-fenyfuggony-1-35-m-50-db-melegfeher-led-csillag-figurakban-atlatszo-vezetek-halozati-adapter-belteri-kivitel-kaf-50l-ww-17320","https://www.somogyi.hu/product/home-kaf-50l-ww-led-es-csillag-fenyfuggony-1-35-m-50-db-melegfeher-led-csillag-figurakban-atlatszo-vezetek-halozati-adapter-belteri-kivitel-kaf-50l-ww-17320")</f>
        <v>0.0</v>
      </c>
      <c r="E2442" s="7" t="n">
        <f>HYPERLINK("https://www.somogyi.hu/data/img/product_main_images/small/17320.jpg","https://www.somogyi.hu/data/img/product_main_images/small/17320.jpg")</f>
        <v>0.0</v>
      </c>
      <c r="F2442" s="2" t="inlineStr">
        <is>
          <t>5999084953423</t>
        </is>
      </c>
      <c r="G2442" s="4" t="inlineStr">
        <is>
          <t>Szeretné, ha otthonát meleg, ünnepi csillagfények ragyognák be? A Home KAF 50L/WW LED-es csillag fényfüggöny ideális választás beltéri dekorációhoz, hogy varázslatos és meghitt hangulatot teremtsen az ünnepek alatt. 
Ez a különleges fényfüggöny 50 melegfehér LED-ből áll, amelyek mindegyike egy-egy 5 cm-es csillagot világít meg, így otthona fényárban úszik. Az állófényű LED-ek biztosítják az egyenletes ragyogást, miközben minden füzér legalsó csillaga villog, ami izgalmas és dinamikus fényhatást eredményez.
A fényfüggöny átlátszó vezetékkel rendelkezik, amely diszkréten simul bele bármilyen belső térbe, biztosítva, hogy a figyelem a csillagok ragyogására összpontosuljon. Az 5 méter hosszú tápvezeték és a mellékelt IP20 beltéri hálózati adapter lehetővé teszi a könnyű és rugalmas elhelyezést. A melegfehér fények kellemes, otthonos atmoszférát teremtenek, tökéletesen kiegészítve az ünnepi dekorációt.
Hozza el a csillagok meleg fényét otthonába a Home KAF 50L/WW LED-es csillag fényfüggönnyel! Rendelje meg most, és élvezze a varázslatos ünnepi hangulatot minden nap!</t>
        </is>
      </c>
    </row>
    <row r="2443">
      <c r="A2443" s="3" t="inlineStr">
        <is>
          <t>KAF 8/F</t>
        </is>
      </c>
      <c r="B2443" s="2" t="inlineStr">
        <is>
          <t>Home KAF 8/F LED-es hókristály fényfüggöny, 0,9 m / 8 db melegfehér LED akril hókristályban, átlátszó vezeték, hálózati adapter, kül- és beltéri kivitel</t>
        </is>
      </c>
      <c r="C2443" s="1" t="n">
        <v>7490.0</v>
      </c>
      <c r="D2443" s="7" t="n">
        <f>HYPERLINK("https://www.somogyi.hu/product/home-kaf-8-f-led-es-hokristaly-fenyfuggony-0-9-m-8-db-melegfeher-led-akril-hokristalyban-atlatszo-vezetek-halozati-adapter-kul-es-belteri-kivitel-kaf-8-f-16021","https://www.somogyi.hu/product/home-kaf-8-f-led-es-hokristaly-fenyfuggony-0-9-m-8-db-melegfeher-led-akril-hokristalyban-atlatszo-vezetek-halozati-adapter-kul-es-belteri-kivitel-kaf-8-f-16021")</f>
        <v>0.0</v>
      </c>
      <c r="E2443" s="7" t="n">
        <f>HYPERLINK("https://www.somogyi.hu/data/img/product_main_images/small/16021.jpg","https://www.somogyi.hu/data/img/product_main_images/small/16021.jpg")</f>
        <v>0.0</v>
      </c>
      <c r="F2443" s="2" t="inlineStr">
        <is>
          <t>5999084940539</t>
        </is>
      </c>
      <c r="G2443" s="4" t="inlineStr">
        <is>
          <t>Szeretné, ha otthona vagy kertje varázslatos hókristály fényekben tündökölne az ünnepek alatt? A Home KAF 8/F LED-es hókristály fényfüggöny tökéletes választás kültéri és beltéri dekorációhoz egyaránt, hogy meghitt és ünnepi hangulatot teremtsen. 
Ez a lenyűgöző fényfüggöny 8 akril hókristályból áll, mindegyikben egy-egy melegfehér LED világít, így a fények finoman csillognak, akár a frissen hullott hó. Az átlátszó vezetékkel rendelkező fényfüggöny diszkréten olvad bele bármilyen környezetbe, biztosítva, hogy a figyelem a csillogó hókristályokra összpontosuljon.
A 0,9 méter hosszú függöny ideális ablakok, ajtók vagy teraszok díszítésére, miközben a 10 méteres tápvezeték lehetővé teszi a könnyű és rugalmas elhelyezést. A mellékelt IP44-es védettségű kültéri hálózati adapter biztosítja a biztonságos használatot külső környezetben is. Továbbá, a csomag tartalmaz 8 tapadókorongot, amelyekkel könnyedén rögzítheti a hókristályokat üvegfelületekre.
Hozza el a hókristályok varázsát otthonába vagy kertjébe a Home KAF 8/F LED-es hókristály fényfüggönnyel! Rendelje meg most, és élvezze a csillogó ünnepi hangulatot minden nap!</t>
        </is>
      </c>
    </row>
    <row r="2444">
      <c r="A2444" s="6" t="inlineStr">
        <is>
          <t xml:space="preserve">   Dekorációs világítás / Háló</t>
        </is>
      </c>
      <c r="B2444" s="6" t="inlineStr">
        <is>
          <t/>
        </is>
      </c>
      <c r="C2444" s="6" t="inlineStr">
        <is>
          <t/>
        </is>
      </c>
      <c r="D2444" s="6" t="inlineStr">
        <is>
          <t/>
        </is>
      </c>
      <c r="E2444" s="6" t="inlineStr">
        <is>
          <t/>
        </is>
      </c>
      <c r="F2444" s="6" t="inlineStr">
        <is>
          <t/>
        </is>
      </c>
      <c r="G2444" s="6" t="inlineStr">
        <is>
          <t/>
        </is>
      </c>
    </row>
    <row r="2445">
      <c r="A2445" s="3" t="inlineStr">
        <is>
          <t>KLN 160C/WW</t>
        </is>
      </c>
      <c r="B2445" s="2" t="inlineStr">
        <is>
          <t>Home KLN 160C/WW LED-es háló, 2x1,5 m / 160 db melegfehér LED, zöld vezeték, állófényű, hálózati adapter, kül- és beltéri kivitel</t>
        </is>
      </c>
      <c r="C2445" s="1" t="n">
        <v>12490.0</v>
      </c>
      <c r="D2445" s="7" t="n">
        <f>HYPERLINK("https://www.somogyi.hu/product/home-kln-160c-ww-led-es-halo-2x1-5-m-160-db-melegfeher-led-zold-vezetek-allofenyu-halozati-adapter-kul-es-belteri-kivitel-kln-160c-ww-15586","https://www.somogyi.hu/product/home-kln-160c-ww-led-es-halo-2x1-5-m-160-db-melegfeher-led-zold-vezetek-allofenyu-halozati-adapter-kul-es-belteri-kivitel-kln-160c-ww-15586")</f>
        <v>0.0</v>
      </c>
      <c r="E2445" s="7" t="n">
        <f>HYPERLINK("https://www.somogyi.hu/data/img/product_main_images/small/15586.jpg","https://www.somogyi.hu/data/img/product_main_images/small/15586.jpg")</f>
        <v>0.0</v>
      </c>
      <c r="F2445" s="2" t="inlineStr">
        <is>
          <t>5999084936204</t>
        </is>
      </c>
      <c r="G2445" s="4" t="inlineStr">
        <is>
          <t>Varázsolja otthonába a téli csillogást a Home KLN 160C/WW LED-es hálóval! Ez a lenyűgöző LED-es háló ideális választás, ha beltéri és kültéri dekorációval szeretné feldobni otthonát. 
A Home KLN 160C/WW LED-es háló 160 melegfehér LED-del rendelkezik, amelyek tiszta és ragyogó fényt biztosítanak, hogy ünnepi hangulatot varázsoljon bármelyik helyiségbe vagy kertbe. A háló mérete 2x1,5 méter, így elegendő fényt biztosít nagyobb felületek feldíszítésére is.
A zöld vezeték diszkréten beleolvad a növényzetbe vagy bármilyen más dekorációba, miközben a 5 méter hosszú tápvezeték és a kültéri IP44 hálózati adapter biztosítják a könnyű és biztonságos csatlakozást a hálózathoz. Ez a LED-es háló tökéletes választás, hogy meghitt és varázslatos atmoszférát teremtsen otthonában, legyen szó az ünnepekről vagy bármilyen különleges alkalomról.
Teremtsen káprázatos fényeket otthonában a Home KLN 160C/WW LED-es hálóval! Rendelje meg most, és élvezze a ragyogó, melegfehér fények varázsát minden nap!</t>
        </is>
      </c>
    </row>
    <row r="2446">
      <c r="A2446" s="3" t="inlineStr">
        <is>
          <t>KLN 400C/WH</t>
        </is>
      </c>
      <c r="B2446" s="2" t="inlineStr">
        <is>
          <t>Home KLN 400C/WH LED-es háló, 6x4 m / 400 db hidegfehér LED, zöld vezeték, állófényű, hálózati adapter, kül- és beltéri kivitel</t>
        </is>
      </c>
      <c r="C2446" s="1" t="n">
        <v>40290.0</v>
      </c>
      <c r="D2446" s="7" t="n">
        <f>HYPERLINK("https://www.somogyi.hu/product/home-kln-400c-wh-led-es-halo-6x4-m-400-db-hidegfeher-led-zold-vezetek-allofenyu-halozati-adapter-kul-es-belteri-kivitel-kln-400c-wh-15588","https://www.somogyi.hu/product/home-kln-400c-wh-led-es-halo-6x4-m-400-db-hidegfeher-led-zold-vezetek-allofenyu-halozati-adapter-kul-es-belteri-kivitel-kln-400c-wh-15588")</f>
        <v>0.0</v>
      </c>
      <c r="E2446" s="7" t="n">
        <f>HYPERLINK("https://www.somogyi.hu/data/img/product_main_images/small/15588.jpg","https://www.somogyi.hu/data/img/product_main_images/small/15588.jpg")</f>
        <v>0.0</v>
      </c>
      <c r="F2446" s="2" t="inlineStr">
        <is>
          <t>5999084936228</t>
        </is>
      </c>
      <c r="G2446" s="4" t="inlineStr">
        <is>
          <t>Szeretné, ha kertje vagy terasza mesebeli fényekben ragyogna az ünnepek alatt? A Home KLN 400C/WH LED-es háló tökéletes választás kül- és beltéri dekorációhoz, hogy varázslatos ünnepi hangulatot teremtsen. 
Ez a fényháló 400 hidegfehér LED-ből áll, amelyek kristálytiszta, ragyogó fényt biztosítanak, így kiemelkedően látványos díszítés érhető el. A háló mérete 6x4 méter, így nagyobb felületek, például házfalak, kerítések vagy bokrok dekorálására is ideális. A zöld vezetékkel rendelkező háló diszkréten olvad bele a környezetébe, így csak a gyönyörű fények maradnak a figyelem középpontjában. A tápellátást egy 230 V~/24 V adapter biztosítja, és az 5 méteres tápvezeték lehetővé teszi a háló könnyű csatlakoztatását a hálózathoz. Az IP44-es védettségű adapter garantálja a biztonságos használatot kültéren is.
Hozzon fényt és ünnepi hangulatot kertjébe a Home KLN 400C/WH LED-es hálóval! Rendelje meg most, és élvezze a káprázatos hidegfehér fények ragyogását egész szezonban!</t>
        </is>
      </c>
    </row>
    <row r="2447">
      <c r="A2447" s="3" t="inlineStr">
        <is>
          <t>KLN 160C/WH</t>
        </is>
      </c>
      <c r="B2447" s="2" t="inlineStr">
        <is>
          <t>Home KLN 160C/WH LED-es háló, 2x1,5 m / 160 db hidegfehér LED, zöld vezeték, állófényű, hálózati adapter, kül- és beltéri kivitel</t>
        </is>
      </c>
      <c r="C2447" s="1" t="n">
        <v>12490.0</v>
      </c>
      <c r="D2447" s="7" t="n">
        <f>HYPERLINK("https://www.somogyi.hu/product/home-kln-160c-wh-led-es-halo-2x1-5-m-160-db-hidegfeher-led-zold-vezetek-allofenyu-halozati-adapter-kul-es-belteri-kivitel-kln-160c-wh-16089","https://www.somogyi.hu/product/home-kln-160c-wh-led-es-halo-2x1-5-m-160-db-hidegfeher-led-zold-vezetek-allofenyu-halozati-adapter-kul-es-belteri-kivitel-kln-160c-wh-16089")</f>
        <v>0.0</v>
      </c>
      <c r="E2447" s="7" t="n">
        <f>HYPERLINK("https://www.somogyi.hu/data/img/product_main_images/small/16089.jpg","https://www.somogyi.hu/data/img/product_main_images/small/16089.jpg")</f>
        <v>0.0</v>
      </c>
      <c r="F2447" s="2" t="inlineStr">
        <is>
          <t>5999084941215</t>
        </is>
      </c>
      <c r="G2447" s="4" t="inlineStr">
        <is>
          <t>Varázsolja otthonába a téli csillogást a Home KLN 160C/WH LED-es hálóval! Ez a lenyűgöző LED-es háló ideális választás, ha beltéri és kültéri dekorációval szeretné feldobni otthonát. 
A Home KLN 160C/WH LED-es háló 160 hidegfehér LED-del rendelkezik, amelyek tiszta és ragyogó fényt biztosítanak, hogy ünnepi hangulatot varázsoljon bármelyik helyiségbe vagy kertbe. A háló mérete 2x1,5 méter, így elegendő fényt biztosít nagyobb felületek feldíszítésére is.
A zöld vezeték diszkréten beleolvad a növényzetbe vagy bármilyen más dekorációba, miközben a 5 méter hosszú tápvezeték és a kültéri IP44 hálózati adapter biztosítják a könnyű és biztonságos csatlakozást a hálózathoz. Ez a LED-es háló tökéletes választás, hogy meghitt és varázslatos atmoszférát teremtsen otthonában, legyen szó az ünnepekről vagy bármilyen különleges alkalomról.
Teremtsen káprázatos fényeket otthonában a Home KLN 160C/WH LED-es hálóval! Rendelje meg most, és élvezze a ragyogó, hidegfehér fények varázsát minden nap!</t>
        </is>
      </c>
    </row>
    <row r="2448">
      <c r="A2448" s="3" t="inlineStr">
        <is>
          <t>KLN 240C/WW</t>
        </is>
      </c>
      <c r="B2448" s="2" t="inlineStr">
        <is>
          <t>Home KLN 240C/WW LED-es háló, 3x3 m / 240 db melegfehér LED, zöld vezeték, állófényű, hálózati adapter, kül- és beltéri kivitel</t>
        </is>
      </c>
      <c r="C2448" s="1" t="n">
        <v>18990.0</v>
      </c>
      <c r="D2448" s="7" t="n">
        <f>HYPERLINK("https://www.somogyi.hu/product/home-kln-240c-ww-led-es-halo-3x3-m-240-db-melegfeher-led-zold-vezetek-allofenyu-halozati-adapter-kul-es-belteri-kivitel-kln-240c-ww-17747","https://www.somogyi.hu/product/home-kln-240c-ww-led-es-halo-3x3-m-240-db-melegfeher-led-zold-vezetek-allofenyu-halozati-adapter-kul-es-belteri-kivitel-kln-240c-ww-17747")</f>
        <v>0.0</v>
      </c>
      <c r="E2448" s="7" t="n">
        <f>HYPERLINK("https://www.somogyi.hu/data/img/product_main_images/small/17747.jpg","https://www.somogyi.hu/data/img/product_main_images/small/17747.jpg")</f>
        <v>0.0</v>
      </c>
      <c r="F2448" s="2" t="inlineStr">
        <is>
          <t>5999084957698</t>
        </is>
      </c>
      <c r="G2448" s="4" t="inlineStr">
        <is>
          <t>Szeretné otthonát ragyogó, ünnepi fényekkel feldíszíteni? A Home KLN 240C/WW LED-es háló tökéletes választás kültéri dekorációhoz, hogy kertje vagy terasza lenyűgöző fényekben pompázzon. 
Ez a fényháló 240 melegfehér LED-del rendelkezik, amelyek tiszta és ragyogó fényt biztosítanak, hogy igazán ünnepi hangulatot teremtsenek. A háló mérete 3x3 méter, így ideális nagyobb felületek díszítésére, például házfalakra, kerítésekre vagy bokrokra.
A zöld vezeték diszkréten olvad bele a környezetbe, így a figyelem a káprázatos fényekre összpontosul. A tápellátást a 230 V~/36 V adapter biztosítja, melyhez 5 méter hosszú tápvezeték tartozik, így a háló könnyedén csatlakoztatható a hálózathoz. Az IP44-es védettségű adapter gondoskodik arról, hogy a háló biztonságosan használható legyen kültéren is.
Hozzon varázslatos fényeket kertjébe a Home KLN 240C/WW LED-es hálóval! Rendelje meg most, és élvezze a melegfehér fények ragyogását egész szezonban!</t>
        </is>
      </c>
    </row>
    <row r="2449">
      <c r="A2449" s="3" t="inlineStr">
        <is>
          <t>KLN 240C/WH</t>
        </is>
      </c>
      <c r="B2449" s="2" t="inlineStr">
        <is>
          <t>Home KLN 240C/WH LED-es háló, 3x3 m / 240 db hidegfehér LED, zöld vezeték, állófényű, hálózati adapter, kül- és beltéri kivitel</t>
        </is>
      </c>
      <c r="C2449" s="1" t="n">
        <v>18990.0</v>
      </c>
      <c r="D2449" s="7" t="n">
        <f>HYPERLINK("https://www.somogyi.hu/product/home-kln-240c-wh-led-es-halo-3x3-m-240-db-hidegfeher-led-zold-vezetek-allofenyu-halozati-adapter-kul-es-belteri-kivitel-kln-240c-wh-15587","https://www.somogyi.hu/product/home-kln-240c-wh-led-es-halo-3x3-m-240-db-hidegfeher-led-zold-vezetek-allofenyu-halozati-adapter-kul-es-belteri-kivitel-kln-240c-wh-15587")</f>
        <v>0.0</v>
      </c>
      <c r="E2449" s="7" t="n">
        <f>HYPERLINK("https://www.somogyi.hu/data/img/product_main_images/small/15587.jpg","https://www.somogyi.hu/data/img/product_main_images/small/15587.jpg")</f>
        <v>0.0</v>
      </c>
      <c r="F2449" s="2" t="inlineStr">
        <is>
          <t>5999084936211</t>
        </is>
      </c>
      <c r="G2449" s="4" t="inlineStr">
        <is>
          <t>Szeretné otthonát ragyogó, ünnepi fényekkel feldíszíteni? A Home KLN 240C/WH LED-es háló tökéletes választás kültéri dekorációhoz, hogy kertje vagy terasza lenyűgöző fényekben pompázzon. 
Ez a fényháló 240 hidegfehér LED-del rendelkezik, amelyek tiszta és ragyogó fényt biztosítanak, hogy igazán ünnepi hangulatot teremtsenek. A háló mérete 3x3 méter, így ideális nagyobb felületek díszítésére, például házfalakra, kerítésekre vagy bokrokra.
A zöld vezeték diszkréten olvad bele a környezetbe, így a figyelem a káprázatos fényekre összpontosul. A tápellátást a 230 V~/36 V adapter biztosítja, melyhez 5 méter hosszú tápvezeték tartozik, így a háló könnyedén csatlakoztatható a hálózathoz. Az IP44-es védettségű adapter gondoskodik arról, hogy a háló biztonságosan használható legyen kültéren is.
Hozzon varázslatos fényeket kertjébe a Home KLN 240C/WH LED-es hálóval! Rendelje meg most, és élvezze a hidegfehér fények ragyogását egész szezonban!</t>
        </is>
      </c>
    </row>
    <row r="2450">
      <c r="A2450" s="6" t="inlineStr">
        <is>
          <t xml:space="preserve">   Dekorációs világítás / Sorolható család</t>
        </is>
      </c>
      <c r="B2450" s="6" t="inlineStr">
        <is>
          <t/>
        </is>
      </c>
      <c r="C2450" s="6" t="inlineStr">
        <is>
          <t/>
        </is>
      </c>
      <c r="D2450" s="6" t="inlineStr">
        <is>
          <t/>
        </is>
      </c>
      <c r="E2450" s="6" t="inlineStr">
        <is>
          <t/>
        </is>
      </c>
      <c r="F2450" s="6" t="inlineStr">
        <is>
          <t/>
        </is>
      </c>
      <c r="G2450" s="6" t="inlineStr">
        <is>
          <t/>
        </is>
      </c>
    </row>
    <row r="2451">
      <c r="A2451" s="3" t="inlineStr">
        <is>
          <t>KSF 50F/WH</t>
        </is>
      </c>
      <c r="B2451" s="2" t="inlineStr">
        <is>
          <t>Home KSF 50F/WH LED-es fényfüggöny, 3 m / 38 db hidegfehér és 12 db hidegfehér villogó LED, fekete vezeték, sorolható, kül- és beltéri kivitel</t>
        </is>
      </c>
      <c r="C2451" s="1" t="n">
        <v>10990.0</v>
      </c>
      <c r="D2451" s="7" t="n">
        <f>HYPERLINK("https://www.somogyi.hu/product/home-ksf-50f-wh-led-es-fenyfuggony-3-m-38-db-hidegfeher-es-12-db-hidegfeher-villogo-led-fekete-vezetek-sorolhato-kul-es-belteri-kivitel-ksf-50f-wh-16477","https://www.somogyi.hu/product/home-ksf-50f-wh-led-es-fenyfuggony-3-m-38-db-hidegfeher-es-12-db-hidegfeher-villogo-led-fekete-vezetek-sorolhato-kul-es-belteri-kivitel-ksf-50f-wh-16477")</f>
        <v>0.0</v>
      </c>
      <c r="E2451" s="7" t="n">
        <f>HYPERLINK("https://www.somogyi.hu/data/img/product_main_images/small/16477.jpg","https://www.somogyi.hu/data/img/product_main_images/small/16477.jpg")</f>
        <v>0.0</v>
      </c>
      <c r="F2451" s="2" t="inlineStr">
        <is>
          <t>5999084945091</t>
        </is>
      </c>
      <c r="G2451" s="4" t="inlineStr">
        <is>
          <t>Otthonába varázsolná a tél csillogását egy fényfüggönnyel? A Home KSF 50F/WH LED-es fényfüggöny ideális választás kültéri és beltéri díszítésre. 
Ez a fényfüggöny 50 db hidegfehér LED-ből áll, amelyek közül 12 db villog, hogy még ragyogóbb hatást keltsen. A LED-ek hidegfehér színe friss és ünnepi hangulatot kölcsönöz bármilyen környezetnek, míg a fekete vezeték diszkréten elrejtőzik a háttérben. A 3 méter hosszúságú fényfüggöny könnyedén illeszkedik különböző felületekre, és kompatibilis a KSF, KSI, KSH, KTH és KTT termékekkel, így sokoldalúan felhasználható. Ez a termék 230 V-os tápellátással működik, és egy hálózati csatlakozással akár 1500 LED-et is üzemeltethet. 
A hálózati csatlakozáshoz Home KSH 5 vagy Home KSH 2 szükséges, amelyek külön megvásárolhatók.
Tegye otthonát még ünnepibbé és varázslatosabbá a Home KSF 50F/WH LED-es fényfüggönnyel! Vásároljon most, és élvezze a téli csillogást minden nap!</t>
        </is>
      </c>
    </row>
    <row r="2452">
      <c r="A2452" s="3" t="inlineStr">
        <is>
          <t>KSH 5</t>
        </is>
      </c>
      <c r="B2452" s="2" t="inlineStr">
        <is>
          <t>Home KSH 5 hálózati csatlakozó kábel, 5 m, kül- és beltéri kivitel, fekete</t>
        </is>
      </c>
      <c r="C2452" s="1" t="n">
        <v>4090.0</v>
      </c>
      <c r="D2452" s="7" t="n">
        <f>HYPERLINK("https://www.somogyi.hu/product/home-ksh-5-halozati-csatlakozo-kabel-5-m-kul-es-belteri-kivitel-fekete-ksh-5-16472","https://www.somogyi.hu/product/home-ksh-5-halozati-csatlakozo-kabel-5-m-kul-es-belteri-kivitel-fekete-ksh-5-16472")</f>
        <v>0.0</v>
      </c>
      <c r="E2452" s="7" t="n">
        <f>HYPERLINK("https://www.somogyi.hu/data/img/product_main_images/small/16472.jpg","https://www.somogyi.hu/data/img/product_main_images/small/16472.jpg")</f>
        <v>0.0</v>
      </c>
      <c r="F2452" s="2" t="inlineStr">
        <is>
          <t>5999084945046</t>
        </is>
      </c>
      <c r="G2452" s="4" t="inlineStr">
        <is>
          <t>Szeretné varázslatos fényekkel díszíteni lakását, de nem talál megfelelő fényfüzért? A Home KSH 5 pontosan az, amire szüksége van!
Ez az 5 méter hosszú fényfüzér kiegészítő lehet az ideális választás. A Home KSH 5 tökéletesen illeszkedik a Somogyi Elektronic által forgalmazott KSI, KSF és KSH fényfüzérekhez, így könnyedén bővítheti meglévő világítási rendszerét.
Legyen szó karácsonyi dekorációról, esküvői díszítésről, vagy csak arról, hogy különleges hangulatot teremtsen otthonában, a Home KSH 5 fényfüzér segítségével minden alkalomra tökéletes atmoszférát hozhat létre. Az 5 méteres hosszúság biztosítja, hogy elegendő fény álljon rendelkezésre, így nem kell több különböző fényforrást összekapcsolnia.
Ráadásul a Home KSH 5 fényfüzér egyszerűen telepíthető, így nem kell szakértőnek lennie a dekorációs világítás terén ahhoz, hogy lenyűgöző eredményt érjen el. Tervezzen bátran, a Home KSH 5 segítségével minden ötlete valósággá válhat! Ne várjon tovább, dobja fel otthonát a Home KSH 5 fényfüzérrel!</t>
        </is>
      </c>
    </row>
    <row r="2453">
      <c r="A2453" s="3" t="inlineStr">
        <is>
          <t>KTT</t>
        </is>
      </c>
      <c r="B2453" s="2" t="inlineStr">
        <is>
          <t>Home KTT T-elosztó, kül- és beltéri kivitel</t>
        </is>
      </c>
      <c r="C2453" s="1" t="n">
        <v>1690.0</v>
      </c>
      <c r="D2453" s="7" t="n">
        <f>HYPERLINK("https://www.somogyi.hu/product/home-ktt-t-eloszto-kul-es-belteri-kivitel-ktt-9021","https://www.somogyi.hu/product/home-ktt-t-eloszto-kul-es-belteri-kivitel-ktt-9021")</f>
        <v>0.0</v>
      </c>
      <c r="E2453" s="7" t="n">
        <f>HYPERLINK("https://www.somogyi.hu/data/img/product_main_images/small/09021.jpg","https://www.somogyi.hu/data/img/product_main_images/small/09021.jpg")</f>
        <v>0.0</v>
      </c>
      <c r="F2453" s="2" t="inlineStr">
        <is>
          <t>5998312779019</t>
        </is>
      </c>
      <c r="G2453" s="4" t="inlineStr">
        <is>
          <t>Hogyan bővítheti egyszerűen karácsonyi fényrendszerét kül- és beltéren egyaránt? A Home KTT T-elosztó praktikus megoldást kínál, ha bővíteni szeretné karácsonyi fényfüzér-rendszerét, és egyszerű, mégis megbízható csatlakozási lehetőségeket keres. 
Ez a kül- és beltéri használatra egyaránt alkalmas T-elosztó ideális választás, ha több fényfüzért vagy fényfüggönyt szeretne egyetlen rendszerhez csatlakoztatni. Legyen szó akár kültéri dekorációról – például erkély, kert vagy terasz megvilágításáról –, vagy belső terek hangulatos fényekkel való díszítéséről, a Home KTT T-elosztó garantálja a könnyű csatlakoztatást és a zökkenőmentes működést.
A T-elosztó kompatibilis a Somogyi Elektronic által forgalmazott KSF, KSI, KSH, KTF, KTI, KTH és KTT fényfüzérekkel és fényfüggönyökkel. Ez a sokoldalúság lehetővé teszi, hogy különféle típusú fényrendszereket csatlakoztasson egyetlen hálózati ponthoz, így rugalmasan alakíthatja ki a kívánt megvilágítást az ünnepi időszakban. A T-elosztó segítségével akár több füzért is egyszerűen elágaztathat, így könnyedén kiterjesztheti dekorációját anélkül, hogy túlterhelné az elektromos hálózatot.
A Home KTT T-elosztó időjárásálló kialakítása miatt kültéren is biztonságosan használható, ellenáll az esőnek és a hóesésnek, így garantálja a hosszú távú, megbízható működést. A robustus szerkezet és a vízálló csatlakozók biztosítják, hogy a rendszer még a legkeményebb téli időjárás közepette is hibátlanul üzemeljen.
Ne hagyja, hogy a fényrendszerek csatlakoztatása bonyolult feladat legyen! Válassza a Home KTT T-elosztót, és varázsolja karácsonyi dekorációját rugalmasan bővíthetővé, kül- és beltéren egyaránt!</t>
        </is>
      </c>
    </row>
    <row r="2454">
      <c r="A2454" s="3" t="inlineStr">
        <is>
          <t>KTT 5</t>
        </is>
      </c>
      <c r="B2454" s="2" t="inlineStr">
        <is>
          <t>Home KTT 5 toldó kábel, 5 méter, kül- és beltéri kivitel</t>
        </is>
      </c>
      <c r="C2454" s="1" t="n">
        <v>3390.0</v>
      </c>
      <c r="D2454" s="7" t="n">
        <f>HYPERLINK("https://www.somogyi.hu/product/home-ktt-5-toldo-kabel-5-meter-kul-es-belteri-kivitel-ktt-5-9022","https://www.somogyi.hu/product/home-ktt-5-toldo-kabel-5-meter-kul-es-belteri-kivitel-ktt-5-9022")</f>
        <v>0.0</v>
      </c>
      <c r="E2454" s="7" t="n">
        <f>HYPERLINK("https://www.somogyi.hu/data/img/product_main_images/small/09022.jpg","https://www.somogyi.hu/data/img/product_main_images/small/09022.jpg")</f>
        <v>0.0</v>
      </c>
      <c r="F2454" s="2" t="inlineStr">
        <is>
          <t>5998312779026</t>
        </is>
      </c>
      <c r="G2454" s="4" t="inlineStr">
        <is>
          <t>Fedezze fel a Home KTT 5 toldó kábelt, amely kiválóan alkalmas kültéri fénydekorációkhoz! Ez a 5 méter hosszú toldó kábel ideális választás, ha a Somogyi Elektronic által forgalmazott KTI, KTF és KTH fényfüzéreket szeretné meghosszabbítani, így tökéletesen igazodik kerti vagy udvari világítási igényeihez.
Különösen hasznos lehet azokban az esetekben, amikor a fényfüzér eredeti hossza nem elegendő, vagy ha kreatívabb világítási megoldást szeretne kialakítani. A Home KTT 5 toldó kábel segítségével könnyedén növelheti a fényfüzérek terjedelmét, így akár nagyobb kerteket vagy rendezvényhelyszíneket is körbevilágíthat.
A toldó kábel kültéri felhasználhatósága biztosítja, hogy az időjárási viszontagságoknak ellenálló, tartós megoldást nyújtson a kültéri díszítés során. Legyen szó akár karácsonyi fénydekorációról, esküvői rendezvény világításáról vagy csak a kert hangulatos megvilágításáról, ez a kábel tökéletes választás lehet.
Ne hagyja ki ezt a lehetőséget, hogy kreatívan alakítsa ki otthonának vagy rendezvényének világítását. A Home KTT 5 toldó kábellel egyszerűen és gyorsan megoldhatja a fényfüzérek hosszabbítását. Rendelje meg most, és teremtsen egyedi világítási megoldásokat otthonában vagy rendezvényén!</t>
        </is>
      </c>
    </row>
    <row r="2455">
      <c r="A2455" s="3" t="inlineStr">
        <is>
          <t>KSI 100/WW</t>
        </is>
      </c>
      <c r="B2455" s="2" t="inlineStr">
        <is>
          <t>Home KSI 100/WW LED-es fényfüzér, 10 m / 100 db melegfehér LED, állófényű, fekete vezeték, kül- és beltéri kivitel</t>
        </is>
      </c>
      <c r="C2455" s="1" t="n">
        <v>12990.0</v>
      </c>
      <c r="D2455" s="7" t="n">
        <f>HYPERLINK("https://www.somogyi.hu/product/home-ksi-100-ww-led-es-fenyfuzer-10-m-100-db-melegfeher-led-allofenyu-fekete-vezetek-kul-es-belteri-kivitel-ksi-100-ww-16473","https://www.somogyi.hu/product/home-ksi-100-ww-led-es-fenyfuzer-10-m-100-db-melegfeher-led-allofenyu-fekete-vezetek-kul-es-belteri-kivitel-ksi-100-ww-16473")</f>
        <v>0.0</v>
      </c>
      <c r="E2455" s="7" t="n">
        <f>HYPERLINK("https://www.somogyi.hu/data/img/product_main_images/small/16473.jpg","https://www.somogyi.hu/data/img/product_main_images/small/16473.jpg")</f>
        <v>0.0</v>
      </c>
      <c r="F2455" s="2" t="inlineStr">
        <is>
          <t>5999084945053</t>
        </is>
      </c>
      <c r="G2455" s="4" t="inlineStr">
        <is>
          <t>Az ideális fényforrást keresi otthoni vagy dekorációs célra? A Home KSI 100/WW LED-es fényfüzér az Ön megoldása lehet!
Ez a lenyűgöző 10 méter hosszú fényfüzér 100 darab melegfehér LED-del rendelkezik, amelyek kellemes hangulatot teremtenek a környezetében. A fényfüzér állófényű, így nem kell aggódnia a villogó vagy pulzáló fényektől. A fekete vezeték diszkrét és elegáns megjelenést kölcsönöz a dekorációnak.
Ez a fényfüzér mind beltéren, mind kültéren használható. Dekorálja vele a nappaliját, teraszát, vagy akár a kertjét is.
Ne hagyja ki ezt a lehetőséget, hogy otthonát vagy kertjét varázslatossá tegye. Szerezze be most a Home KSI 100/WW LED-es fényfüzért, és teremtsen egyedülálló atmoszférát a saját kreativitásával!</t>
        </is>
      </c>
    </row>
    <row r="2456">
      <c r="A2456" s="3" t="inlineStr">
        <is>
          <t>KSF 200/WW</t>
        </is>
      </c>
      <c r="B2456" s="2" t="inlineStr">
        <is>
          <t>Home KSF 200/WW LED-es fényfüggöny, 4 m / 200 db melegfehér LED, állófényű, fekete vezeték, sorolható, kül- és beltéri kivitel</t>
        </is>
      </c>
      <c r="C2456" s="1" t="n">
        <v>27490.0</v>
      </c>
      <c r="D2456" s="7" t="n">
        <f>HYPERLINK("https://www.somogyi.hu/product/home-ksf-200-ww-led-es-fenyfuggony-4-m-200-db-melegfeher-led-allofenyu-fekete-vezetek-sorolhato-kul-es-belteri-kivitel-ksf-200-ww-16467","https://www.somogyi.hu/product/home-ksf-200-ww-led-es-fenyfuggony-4-m-200-db-melegfeher-led-allofenyu-fekete-vezetek-sorolhato-kul-es-belteri-kivitel-ksf-200-ww-16467")</f>
        <v>0.0</v>
      </c>
      <c r="E2456" s="7" t="n">
        <f>HYPERLINK("https://www.somogyi.hu/data/img/product_main_images/small/16467.jpg","https://www.somogyi.hu/data/img/product_main_images/small/16467.jpg")</f>
        <v>0.0</v>
      </c>
      <c r="F2456" s="2" t="inlineStr">
        <is>
          <t>5999084944995</t>
        </is>
      </c>
      <c r="G2456" s="4" t="inlineStr">
        <is>
          <t>Egy sokoldalú világítási megoldást keres, ami mind kint, mind bent tökéletesen működik? Akkor a Home KSF 200/WW kifejezetten Önnek lett tervezve!
Ez a lenyűgöző fényfüzér 200 db melegfehér LED-del rendelkezik, amelyek nemcsak elegáns megjelenést kölcsönöznek otthonának vagy kertjének, hanem energiatakarékos világítást is biztosítanak. A Home KSF 200/WW kül- és beltéri kivitelben egyaránt használható, így tökéletes választás karácsonyi díszítéshez, eseményekhez, vagy akár az otthoni hangulat fokozására.
Ez a fényfüzér kompatibilis a Somogyi Elektronic által forgalomba hozott KSI, KSF, KSH termékekkel, így további kiegészítőkkel bővítheti világítási rendszerét. Külön megvásárolható tartozékok között megtalálhatóak például a KTT, KTT 5, KSH 5, KSH 2 típusok, amelyek még több variációs lehetőséget nyújtanak a fények elrendezéséhez.
A Home KSF 200/WW tápellátása 230 V~ hálózatról történik, így egyszerűen csatlakoztatható bármelyik otthoni vagy kültéri konnektorhoz. Könnyedén létrehozhat vele meghitt, meleg hangulatot, vagy akár dinamikus fényjátékot különleges alkalmakra.
Ne hagyja ki ezt a kivételes lehetőséget, hogy fényárba borítsa környezetét a Home KSF 200/WW fényfüzérrel! Fedezze fel, milyen sokoldalúan alakíthatja otthona vagy kertje hangulatát ezzel az elegáns és energiatakarékos világítási megoldással.</t>
        </is>
      </c>
    </row>
    <row r="2457">
      <c r="A2457" s="3" t="inlineStr">
        <is>
          <t>KSF 50F/WW</t>
        </is>
      </c>
      <c r="B2457" s="2" t="inlineStr">
        <is>
          <t>Home KSF 50F/WW LED-es fényfüggöny, 3 m / 38 db melegfehér és 12 db hidegfehér villogó LED, fekete vezeték, sorolható, kül- és beltéri kivitel</t>
        </is>
      </c>
      <c r="C2457" s="1" t="n">
        <v>10990.0</v>
      </c>
      <c r="D2457" s="7" t="n">
        <f>HYPERLINK("https://www.somogyi.hu/product/home-ksf-50f-ww-led-es-fenyfuggony-3-m-38-db-melegfeher-es-12-db-hidegfeher-villogo-led-fekete-vezetek-sorolhato-kul-es-belteri-kivitel-ksf-50f-ww-16476","https://www.somogyi.hu/product/home-ksf-50f-ww-led-es-fenyfuggony-3-m-38-db-melegfeher-es-12-db-hidegfeher-villogo-led-fekete-vezetek-sorolhato-kul-es-belteri-kivitel-ksf-50f-ww-16476")</f>
        <v>0.0</v>
      </c>
      <c r="E2457" s="7" t="n">
        <f>HYPERLINK("https://www.somogyi.hu/data/img/product_main_images/small/16476.jpg","https://www.somogyi.hu/data/img/product_main_images/small/16476.jpg")</f>
        <v>0.0</v>
      </c>
      <c r="F2457" s="2" t="inlineStr">
        <is>
          <t>5999084945084</t>
        </is>
      </c>
      <c r="G2457" s="4" t="inlineStr">
        <is>
          <t>Egy melegséget sugárzó, ünnepi fényfüggönyt keres, amely varázslatos hangulatot teremt otthonában? A Home KSF 50F/WW LED-es fényfüggöny tökéletes választás kültéri és beltéri dekorációhoz. 
Ez a lenyűgöző fényfüggöny 50 LED-ből áll, melyek közül 38 melegfehér, és 12 hidegfehér LED gyengéden villog. A hidegfehér és melegfehér fények kombinációja különleges, meghitt atmoszférát teremt bármely helyiségben. A fekete vezeték észrevétlenül simul a környezetbe, míg a 3 méter hosszú fényfüggöny könnyen felszerelhető különböző felületekre. A termék kompatibilis a KSF, KSI, KSH, KTH és KTT termékekkel, így számtalan dekorációs lehetőséget kínál. A 230 V-os tápellátás biztosítja a fényfüggöny zavartalan működését, és egy hálózati csatlakozással akár 1500 LED-et is képes üzemeltetni. 
A hálózati csatlakozáshoz Home KSH 5 vagy Home KSH 2 szükséges, amelyek külön megvásárolhatók.
Hozzon ünnepi ragyogást otthonába a Home KSF 50F/WW LED-es fényfüggönnyel! Rendelje meg most, és élvezze a varázslatos hangulatot minden nap!</t>
        </is>
      </c>
    </row>
    <row r="2458">
      <c r="A2458" s="3" t="inlineStr">
        <is>
          <t>KSF 200/WH</t>
        </is>
      </c>
      <c r="B2458" s="2" t="inlineStr">
        <is>
          <t>Home KSF 200/WH LED-es fényfüggöny, 4 m / 200 db hidegfehér LED, állófényű, fekete vezeték, sorolható, kül- és beltéri kivitel</t>
        </is>
      </c>
      <c r="C2458" s="1" t="n">
        <v>27490.0</v>
      </c>
      <c r="D2458" s="7" t="n">
        <f>HYPERLINK("https://www.somogyi.hu/product/home-ksf-200-wh-led-es-fenyfuggony-4-m-200-db-hidegfeher-led-allofenyu-fekete-vezetek-sorolhato-kul-es-belteri-kivitel-ksf-200-wh-16466","https://www.somogyi.hu/product/home-ksf-200-wh-led-es-fenyfuggony-4-m-200-db-hidegfeher-led-allofenyu-fekete-vezetek-sorolhato-kul-es-belteri-kivitel-ksf-200-wh-16466")</f>
        <v>0.0</v>
      </c>
      <c r="E2458" s="7" t="n">
        <f>HYPERLINK("https://www.somogyi.hu/data/img/product_main_images/small/16466.jpg","https://www.somogyi.hu/data/img/product_main_images/small/16466.jpg")</f>
        <v>0.0</v>
      </c>
      <c r="F2458" s="2" t="inlineStr">
        <is>
          <t>5999084944988</t>
        </is>
      </c>
      <c r="G2458" s="4" t="inlineStr">
        <is>
          <t>Egy sokoldalú világítási megoldást keres, ami mind kint, mind bent tökéletesen működik? Akkor a Home KSF 200/WH kifejezetten Önnek lett tervezve!
Ez a lenyűgöző fényfüzér 200 db hidegfehér LED-del rendelkezik, amelyek nemcsak elegáns megjelenést kölcsönöznek otthonának vagy kertjének, hanem energiatakarékos világítást is biztosítanak. A Home KSF 200/WH kül- és beltéri kivitelben egyaránt használható, így tökéletes választás karácsonyi díszítéshez, eseményekhez, vagy akár az otthoni hangulat fokozására.
Ez a fényfüzér kompatibilis a Somogyi Elektronic által forgalomba hozott KSI, KSF, KSH termékekkel, így további kiegészítőkkel bővítheti világítási rendszerét. Külön megvásárolható tartozékok között megtalálhatóak például a KTT, KTT 5, KSH 5, KSH 2 típusok, amelyek még több variációs lehetőséget nyújtanak a fények elrendezéséhez.
A Home KSF 200/WH tápellátása 230 V~ hálózatról történik, így egyszerűen csatlakoztatható bármelyik otthoni vagy kültéri konnektorhoz. Könnyedén létrehozhat vele meghitt, meleg hangulatot, vagy akár dinamikus fényjátékot különleges alkalmakra.
Ne hagyja ki ezt a kivételes lehetőséget, hogy fényárba borítsa környezetét a Home KSF 200/WH fényfüzérrel! Fedezze fel, milyen sokoldalúan alakíthatja otthona vagy kertje hangulatát ezzel az elegáns és energiatakarékos világítási megoldással.</t>
        </is>
      </c>
    </row>
    <row r="2459">
      <c r="A2459" s="3" t="inlineStr">
        <is>
          <t>KSI 100/WH</t>
        </is>
      </c>
      <c r="B2459" s="2" t="inlineStr">
        <is>
          <t>Home KSI 100/WH LED-es fényfüzér, 10 m / 100 db hidegfehér LED, állófényű, fekete vezeték, kül- és beltéri kivitel</t>
        </is>
      </c>
      <c r="C2459" s="1" t="n">
        <v>12990.0</v>
      </c>
      <c r="D2459" s="7" t="n">
        <f>HYPERLINK("https://www.somogyi.hu/product/home-ksi-100-wh-led-es-fenyfuzer-10-m-100-db-hidegfeher-led-allofenyu-fekete-vezetek-kul-es-belteri-kivitel-ksi-100-wh-16471","https://www.somogyi.hu/product/home-ksi-100-wh-led-es-fenyfuzer-10-m-100-db-hidegfeher-led-allofenyu-fekete-vezetek-kul-es-belteri-kivitel-ksi-100-wh-16471")</f>
        <v>0.0</v>
      </c>
      <c r="E2459" s="7" t="n">
        <f>HYPERLINK("https://www.somogyi.hu/data/img/product_main_images/small/16471.jpg","https://www.somogyi.hu/data/img/product_main_images/small/16471.jpg")</f>
        <v>0.0</v>
      </c>
      <c r="F2459" s="2" t="inlineStr">
        <is>
          <t>5999084945039</t>
        </is>
      </c>
      <c r="G2459" s="4" t="inlineStr">
        <is>
          <t>A tökéletes fényfüzért keresi, amely meghitt hangulatot teremt otthonában? Az Home KSI 100/WH LED-es fényfüzér a megfelelő választás!
Ez a 10 méter hosszú fényfüzér 100 darab hidegfehér LED-del rendelkezik, amelyek karácsonyi dekoráció részeként is használhatók, de bármilyen alkalomra is ideálisak. A fényfüzért állófényű kialakítás jellemzi, fekete vezetékkel rendelkezik, amely szépen illeszkedik bármilyen környezetbe.
Az Home KSI 100/WH LED-es fényfüzér kül- és beltéri használatra is alkalmas, így bármilyen térben felhasználható. Hozza be az ünnepi hangulatot az otthonába. A hidegfehér LED-ek élénk és hűvös fényt árasztanak, amely tökéletesen kiemeli a dekorációdat.
Szerezze be most az Home KSI 100/WH LED-es fényfüzért, és élvezze a varázslatos fényjátékot a saját otthonában!</t>
        </is>
      </c>
    </row>
    <row r="2460">
      <c r="A2460" s="6" t="inlineStr">
        <is>
          <t xml:space="preserve">   Dekorációs világítás / Dekornövény</t>
        </is>
      </c>
      <c r="B2460" s="6" t="inlineStr">
        <is>
          <t/>
        </is>
      </c>
      <c r="C2460" s="6" t="inlineStr">
        <is>
          <t/>
        </is>
      </c>
      <c r="D2460" s="6" t="inlineStr">
        <is>
          <t/>
        </is>
      </c>
      <c r="E2460" s="6" t="inlineStr">
        <is>
          <t/>
        </is>
      </c>
      <c r="F2460" s="6" t="inlineStr">
        <is>
          <t/>
        </is>
      </c>
      <c r="G2460" s="6" t="inlineStr">
        <is>
          <t/>
        </is>
      </c>
    </row>
    <row r="2461">
      <c r="A2461" s="3" t="inlineStr">
        <is>
          <t>CBT 200</t>
        </is>
      </c>
      <c r="B2461" s="2" t="inlineStr">
        <is>
          <t>Home CBT 200 virágzó cseresznyefa, 200 db LED, IP44, lecsavarozható fém talp, kültéri, beltéri</t>
        </is>
      </c>
      <c r="C2461" s="1" t="n">
        <v>31290.0</v>
      </c>
      <c r="D2461" s="7" t="n">
        <f>HYPERLINK("https://www.somogyi.hu/product/home-cbt-200-viragzo-cseresznyefa-200-db-led-ip44-lecsavarozhato-fem-talp-kulteri-belteri-cbt-200-13964","https://www.somogyi.hu/product/home-cbt-200-viragzo-cseresznyefa-200-db-led-ip44-lecsavarozhato-fem-talp-kulteri-belteri-cbt-200-13964")</f>
        <v>0.0</v>
      </c>
      <c r="E2461" s="7" t="n">
        <f>HYPERLINK("https://www.somogyi.hu/data/img/product_main_images/small/13964.jpg","https://www.somogyi.hu/data/img/product_main_images/small/13964.jpg")</f>
        <v>0.0</v>
      </c>
      <c r="F2461" s="2" t="inlineStr">
        <is>
          <t>5999084920166</t>
        </is>
      </c>
      <c r="G2461" s="4" t="inlineStr">
        <is>
          <t>Hozza be a virágok varázsát otthonába a CBT 200 nevű LED-es virágzó cseresznyefával! 
Ez a lenyűgöző dekoráció ideális választás mind beltéri, mind kültéri használatra, így bármilyen teret feldobhat ezzel a különleges elemmel. 
A LED-es virágzó cseresznyefa 200 darab melegfehér LED-del van felszerelve, amelyek gyönyörű fényekkel életre keltik a cseresznyevirágot formázó dekorációt. 
A fa lecsavarozható fémtalppal rendelkezik, ami stabil alapot biztosít és lehetővé teszi a könnyű szállítást, elhelyezést. A termék tápellátását egy kültéri IP44-es hálózati adapter szolgáltatja, amely biztonságos működést nyújt kültéren is. 
A CBT 200 LED-es virágzó cseresznyefa biztosan lenyűgöző és egyedi díszítőelem lesz otthonában!</t>
        </is>
      </c>
    </row>
    <row r="2462">
      <c r="A2462" s="3" t="inlineStr">
        <is>
          <t>587346</t>
        </is>
      </c>
      <c r="B2462" s="2" t="inlineStr">
        <is>
          <t>Műfenyő</t>
        </is>
      </c>
      <c r="C2462" s="1" t="n">
        <v>89990.0</v>
      </c>
      <c r="D2462" s="7" t="n">
        <f>HYPERLINK("https://www.somogyi.hu/product/mufenyo-587346-17025","https://www.somogyi.hu/product/mufenyo-587346-17025")</f>
        <v>0.0</v>
      </c>
      <c r="E2462" s="7" t="n">
        <f>HYPERLINK("https://www.somogyi.hu/data/img/product_main_images/small/17025.jpg","https://www.somogyi.hu/data/img/product_main_images/small/17025.jpg")</f>
        <v>0.0</v>
      </c>
      <c r="F2462" s="2" t="inlineStr">
        <is>
          <t>5996524040125</t>
        </is>
      </c>
      <c r="G2462" s="4" t="inlineStr">
        <is>
          <t xml:space="preserve"> • elhelyezhetőség: beltéri 
 • magasság: 210 cm 
 • egyéb: ágakon 3D tűlevelek / ágak csatlakozása zsanérral / fém talp / 2961 ág /            magasság (A): 210 cm, legnagyobb átmérő (B): 114 cm</t>
        </is>
      </c>
    </row>
    <row r="2463">
      <c r="A2463" s="3" t="inlineStr">
        <is>
          <t>KMF 6/240</t>
        </is>
      </c>
      <c r="B2463" s="2" t="inlineStr">
        <is>
          <t>Home KMF 6/240 műfenyő beépített világítással, 650 db LED, 240 cm magasság, 134 cm átmérő, talpkapcsoló, 4 funkció</t>
        </is>
      </c>
      <c r="C2463" s="1" t="n">
        <v>118990.0</v>
      </c>
      <c r="D2463" s="7" t="n">
        <f>HYPERLINK("https://www.somogyi.hu/product/home-kmf-6-240-mufenyo-beepitett-vilagitassal-650-db-led-240-cm-magassag-134-cm-atmero-talpkapcsolo-4-funkcio-kmf-6-240-16526","https://www.somogyi.hu/product/home-kmf-6-240-mufenyo-beepitett-vilagitassal-650-db-led-240-cm-magassag-134-cm-atmero-talpkapcsolo-4-funkcio-kmf-6-240-16526")</f>
        <v>0.0</v>
      </c>
      <c r="E2463" s="7" t="n">
        <f>HYPERLINK("https://www.somogyi.hu/data/img/product_main_images/small/16526.jpg","https://www.somogyi.hu/data/img/product_main_images/small/16526.jpg")</f>
        <v>0.0</v>
      </c>
      <c r="F2463" s="2" t="inlineStr">
        <is>
          <t>5999084945589</t>
        </is>
      </c>
      <c r="G2463" s="4" t="inlineStr">
        <is>
          <t>Szeretne idén egy olyan karácsonyfát, amely már a fényekről is gondoskodik, miközben könnyen összeállítható és lenyűgözően néz ki? A Home KMF 6/240 műfenyő beépített világítással tökéletes megoldás, ha szeretné a karácsonyi készülődést egyszerűbbé és látványosabbá tenni. 
Ez a 240 cm magas, prémium minőségű műfenyő 650 db speciális, kétszínű LED-del van felszerelve, amelyek garantálják az ünnepi ragyogást, mind melegfehér, mind pedig színes fényben. A különleges talpkapcsoló segítségével négyféle funkció közül választhat: választhatja a melegfehér állófényű megvilágítást, a színes állófényű változatot, a felváltva melegfehér és színes fényt, vagy akár teljesen ki is kapcsolhatja a világítást. Ez a sokoldalúság lehetővé teszi, hogy a fa minden alkalomhoz és hangulathoz alkalmazkodjon.
A műfenyő ágai 3D és 2D vegyes tűlevelekből készültek, amelyek élethű megjelenést biztosítanak, így könnyen összetéveszthető egy valódi fenyővel. A 1712 csúcsos ágak dús és rendezett elrendezést biztosítanak, ami tökéletes alapot nyújt a karácsonyi díszeknek és fényfüzéreknek, hogy valóban egyedi ünnepi hangulatot varázsoljon otthonába. Az ágak zsanéros csatlakozása garantálja az egyszerű és gyors összeszerelést: mindössze a törzset kell összeilleszteni, és a LED-ek áramkörei automatikusan záródnak, így nincs szükség bonyolult vezetékezésre.
A fa stabilitásáról a masszív fém talp gondoskodik, amely biztosítja, hogy a fa szilárdan álljon, még akkor is, ha gazdagon fel van díszítve. A műfenyő magassága 240 cm, legnagyobb átmérője pedig 134 cm, így kompakt, mégis impozáns megjelenést kölcsönöz minden helyiségben. Az egyszerűen szétszedhető kialakítás lehetővé teszi a könnyű tárolást, így a fa gyorsan és kényelmesen elpakolható az ünnepek után.
A Home KMF 6/240 műfenyő beltéri kivitelű, és hálózati adapterrel működik, ami hosszú üzemidőt biztosít anélkül, hogy aggódnia kellene az elemek cseréje miatt. A PE és PVC anyagokból készült tűlevelek hosszú élettartamot és kiváló tartósságot biztosítanak, így ez a műfenyő évről évre tökéletesen megőrzi formáját és szépségét.
Ne maradjon le az ideális karácsonyfáról! Rendelje meg most a Home KMF 6/240 műfenyőt beépített világítással, és tegye varázslatossá az ünnepi hangulatot könnyedén, minden évben!</t>
        </is>
      </c>
    </row>
    <row r="2464">
      <c r="A2464" s="3" t="inlineStr">
        <is>
          <t>KMF 7/150</t>
        </is>
      </c>
      <c r="B2464" s="2" t="inlineStr">
        <is>
          <t>Home KMF 7/150 fél műfenyő beépített világítással, 180 db LED, 150 cm magasság, 85 cm legnagyobb átmérő, sík oldal</t>
        </is>
      </c>
      <c r="C2464" s="1" t="n">
        <v>23990.0</v>
      </c>
      <c r="D2464" s="7" t="n">
        <f>HYPERLINK("https://www.somogyi.hu/product/home-kmf-7-150-fel-mufenyo-beepitett-vilagitassal-180-db-led-150-cm-magassag-85-cm-legnagyobb-atmero-sik-oldal-kmf-7-150-17509","https://www.somogyi.hu/product/home-kmf-7-150-fel-mufenyo-beepitett-vilagitassal-180-db-led-150-cm-magassag-85-cm-legnagyobb-atmero-sik-oldal-kmf-7-150-17509")</f>
        <v>0.0</v>
      </c>
      <c r="E2464" s="7" t="n">
        <f>HYPERLINK("https://www.somogyi.hu/data/img/product_main_images/small/17509.jpg","https://www.somogyi.hu/data/img/product_main_images/small/17509.jpg")</f>
        <v>0.0</v>
      </c>
      <c r="F2464" s="2" t="inlineStr">
        <is>
          <t>5999084955311</t>
        </is>
      </c>
      <c r="G2464" s="4" t="inlineStr">
        <is>
          <t>Hogyan tehet szert egy helytakarékos, mégis varázslatos karácsonyfára, ami tökéletesen illeszkedik a kisebb terekhez is? A Home KMF 7/150 fél műfenyő ideális választás mindazok számára, akik korlátozott hellyel rendelkeznek, de nem akarnak lemondani a látványos karácsonyi dekorációról. 
Ez az egyedi kialakítású fél műfenyő sík oldalával közvetlenül a falhoz állítható, így helyet takarít meg, miközben teljes karácsonyi hangulatot biztosít. A 150 cm magas, 85 cm-es legnagyobb átmérővel rendelkező fél műfenyő nemcsak helytakarékos, hanem rendkívül elegáns megoldást kínál, hogy bármelyik szoba központi elemévé váljon az ünnepek alatt. A műfenyő 180 db melegfehér LED-del van felszerelve, amelyek lágy, kellemes fényárban fürdetik az otthont. A beépített világítás nemcsak időt spórol meg, hiszen nem kell külön fényfüzéreket elhelyeznie, de egységes, harmonikus fényeloszlást biztosít, ami tökéletesen kiemeli a karácsonyi díszek szépségét. 
A műfenyő 373 csúcsos ága gondosan elrendezett, hogy dús és természetes megjelenést nyújtson. A 3D és 2D vegyes tűlevelek élethű megjelenést biztosítanak, miközben erős alapot adnak a díszítéshez. A zsanéros ágcsatlakozás egyszerűsíti az összeszerelést, így a fa néhány perc alatt felállítható, és az ünnepek végén gyorsan szétszedhető. A fém talp biztosítja a stabilitást, így még kisebb gyerekek vagy háziállatok jelenlétében is nyugodt lehet, hogy a fa biztonságosan áll.
Ez a műfenyő beltéri kivitelű, és hálózati adapterrel működik, így nincs szükség elemekre, és hosszú távon megbízható tápellátást biztosít. A minőségi PE és PVC anyagból készült tűlevelek nemcsak tartósak, de évről évre megtartják élethű megjelenésüket, biztosítva, hogy ez a karácsonyfa hosszú évekig otthona éke maradhat.
Ne hagyja ki ezt a tökéletes megoldást kisebb terek számára! Válassza a Home KMF 7/150 fél műfenyőt beépített világítással, és élvezze a helytakarékos, mégis lenyűgöző karácsonyi hangulatot otthonában!</t>
        </is>
      </c>
    </row>
    <row r="2465">
      <c r="A2465" s="3" t="inlineStr">
        <is>
          <t>KMF 4/180</t>
        </is>
      </c>
      <c r="B2465" s="2" t="inlineStr">
        <is>
          <t>Home KMF 4/180 műfenyő, 180 cm magasság, 122 cm átmérő</t>
        </is>
      </c>
      <c r="C2465" s="1" t="n">
        <v>76990.0</v>
      </c>
      <c r="D2465" s="7" t="n">
        <f>HYPERLINK("https://www.somogyi.hu/product/home-kmf-4-180-mufenyo-180-cm-magassag-122-cm-atmero-kmf-4-180-16081","https://www.somogyi.hu/product/home-kmf-4-180-mufenyo-180-cm-magassag-122-cm-atmero-kmf-4-180-16081")</f>
        <v>0.0</v>
      </c>
      <c r="E2465" s="7" t="n">
        <f>HYPERLINK("https://www.somogyi.hu/data/img/product_main_images/small/16081.jpg","https://www.somogyi.hu/data/img/product_main_images/small/16081.jpg")</f>
        <v>0.0</v>
      </c>
      <c r="F2465" s="2" t="inlineStr">
        <is>
          <t>5999084941130</t>
        </is>
      </c>
      <c r="G2465" s="4" t="inlineStr">
        <is>
          <t>Hogyan teremthet tökéletes karácsonyi hangulatot anélkül, hogy egy igazi fenyőfa gondjaival kellene megküzdenie? A Home KMF 4/180 műfenyő ideális választás azok számára, akik szeretnék élvezni a klasszikus karácsonyi fenyő látványát és hangulatát, de praktikus, környezetbarát és időtálló megoldást keresnek. 
Ez a 180 cm magas műfenyő a legmagasabb minőségi szabványoknak megfelelően készült, így évekig gyönyörködhet benne anélkül, hogy a levelek hullásával vagy a fenyőfa kiszáradásával kellene számolnia. A műfenyő 3D és 2D tűlevelek kombinációjából áll, melyek rendkívül élethű megjelenést kölcsönöznek neki. A 3D levelek gondoskodnak arról, hogy a fa minden oldalról természetes hatást keltsen, míg a 2D levelek sűrűséget és tartást adnak, ezáltal teltebb és dúsabb megjelenést biztosítva. A 2168 csúcs gondosan elhelyezett ágai és levelei tökéletes alapot nyújtanak karácsonyi díszekhez és fényfüzérekhez, így egyedülálló és varázslatos dekorációt hozhat létre otthonában.
A műfenyő 122 cm-es legnagyobb átmérője ideális arányt teremt a szobában, így impozáns megjelenésével betölti a teret anélkül, hogy túl sok helyet foglalna. A masszív fém talp biztosítja a stabilitást, így nem kell aggódnia, hogy a fa megbillen vagy elmozdul, még akkor sem, ha nehezebb karácsonyi díszekkel látja el. A fa alapanyaga PE (polietilén) és PVC (polivinil-klorid) keveréke, amely hosszú élettartamot és tartósságot biztosít, így évről évre újra felhasználhatja, miközben a fa formáját és megjelenését változatlanul megőrzi. Ezen felül, a műfenyő kiváló alternatíva a környezettudatos vásárlók számára, mivel nem kell évente új fenyőt kivágni és kidobni, ezáltal csökkentve az ökológiai lábnyomot.
A Home KMF 4/180 műfenyő tökéletes választás, ha egy olyan karácsonyfára vágyik, amely élethű megjelenést nyújt, könnyen összeszerelhető, és a szezon végén egyszerűen tárolható. Az időtálló dizájn, a kiváló minőségű anyagok és a figyelmes tervezés mind-mind hozzájárulnak ahhoz, hogy otthonában minden évben ugyanolyan varázslatos legyen az ünnepi hangulat.
Ne várjon az utolsó pillanatig! Válassza a Home KMF 4/180 műfenyőt, és tegye a karácsonyát környezettudatosabbá és gondtalanabbá – a tökéletes karácsonyfa már csak egy kattintásnyira van!</t>
        </is>
      </c>
    </row>
    <row r="2466">
      <c r="A2466" s="3" t="inlineStr">
        <is>
          <t>KMF 4/240</t>
        </is>
      </c>
      <c r="B2466" s="2" t="inlineStr">
        <is>
          <t>Home KMF 4/240 műfenyő, 240 cm magasság, 152 cm átmérő</t>
        </is>
      </c>
      <c r="C2466" s="1" t="n">
        <v>150990.0</v>
      </c>
      <c r="D2466" s="7" t="n">
        <f>HYPERLINK("https://www.somogyi.hu/product/home-kmf-4-240-mufenyo-240-cm-magassag-152-cm-atmero-kmf-4-240-16083","https://www.somogyi.hu/product/home-kmf-4-240-mufenyo-240-cm-magassag-152-cm-atmero-kmf-4-240-16083")</f>
        <v>0.0</v>
      </c>
      <c r="E2466" s="7" t="n">
        <f>HYPERLINK("https://www.somogyi.hu/data/img/product_main_images/small/16083.jpg","https://www.somogyi.hu/data/img/product_main_images/small/16083.jpg")</f>
        <v>0.0</v>
      </c>
      <c r="F2466" s="2" t="inlineStr">
        <is>
          <t>5999084941154</t>
        </is>
      </c>
      <c r="G2466" s="4" t="inlineStr">
        <is>
          <t>Hogyan teremthet tökéletes karácsonyi hangulatot anélkül, hogy egy igazi fenyőfa gondjaival kellene megküzdenie? A Home KMF 4/240 műfenyő ideális választás azok számára, akik szeretnék élvezni a klasszikus karácsonyi fenyő látványát és hangulatát, de praktikus, környezetbarát és időtálló megoldást keresnek. 
Ez a 240 cm magas műfenyő a legmagasabb minőségi szabványoknak megfelelően készült, így évekig gyönyörködhet benne anélkül, hogy a levelek hullásával vagy a fenyőfa kiszáradásával kellene számolnia. A műfenyő 3D és 2D tűlevelek kombinációjából áll, melyek rendkívül élethű megjelenést kölcsönöznek neki. A 3D levelek gondoskodnak arról, hogy a fa minden oldalról természetes hatást keltsen, míg a 2D levelek sűrűséget és tartást adnak, ezáltal teltebb és dúsabb megjelenést biztosítva. A 4498 csúcs gondosan elhelyezett ágai és levelei tökéletes alapot nyújtanak karácsonyi díszekhez és fényfüzérekhez, így egyedülálló és varázslatos dekorációt hozhat létre otthonában.
A műfenyő 152 cm-es legnagyobb átmérője ideális arányt teremt a szobában, így impozáns megjelenésével betölti a teret anélkül, hogy túl sok helyet foglalna. A masszív fém talp biztosítja a stabilitást, így nem kell aggódnia, hogy a fa megbillen vagy elmozdul, még akkor sem, ha nehezebb karácsonyi díszekkel látja el. A fa alapanyaga PE (polietilén) és PVC (polivinil-klorid) keveréke, amely hosszú élettartamot és tartósságot biztosít, így évről évre újra felhasználhatja, miközben a fa formáját és megjelenését változatlanul megőrzi. Ezen felül, a műfenyő kiváló alternatíva a környezettudatos vásárlók számára, mivel nem kell évente új fenyőt kivágni és kidobni, ezáltal csökkentve az ökológiai lábnyomot.
A Home KMF 4/240 műfenyő tökéletes választás, ha egy olyan karácsonyfára vágyik, amely élethű megjelenést nyújt, könnyen összeszerelhető, és a szezon végén egyszerűen tárolható. Az időtálló dizájn, a kiváló minőségű anyagok és a figyelmes tervezés mind-mind hozzájárulnak ahhoz, hogy otthonában minden évben ugyanolyan varázslatos legyen az ünnepi hangulat.
Ne várjon az utolsó pillanatig! Válassza a Home KMF 4/240 műfenyőt, és tegye a karácsonyát környezettudatosabbá és gondtalanabbá – a tökéletes karácsonyfa már csak egy kattintásnyira van!</t>
        </is>
      </c>
    </row>
    <row r="2467">
      <c r="A2467" s="3" t="inlineStr">
        <is>
          <t>KMF 7/180</t>
        </is>
      </c>
      <c r="B2467" s="2" t="inlineStr">
        <is>
          <t>Home KMF 7/180 fél műfenyő beépített világítással, 240 db LED, 180 cm magasság, 100 cm legnagyobb átmérő, sík oldal</t>
        </is>
      </c>
      <c r="C2467" s="1" t="n">
        <v>28490.0</v>
      </c>
      <c r="D2467" s="7" t="n">
        <f>HYPERLINK("https://www.somogyi.hu/product/home-kmf-7-180-fel-mufenyo-beepitett-vilagitassal-240-db-led-180-cm-magassag-100-cm-legnagyobb-atmero-sik-oldal-kmf-7-180-17510","https://www.somogyi.hu/product/home-kmf-7-180-fel-mufenyo-beepitett-vilagitassal-240-db-led-180-cm-magassag-100-cm-legnagyobb-atmero-sik-oldal-kmf-7-180-17510")</f>
        <v>0.0</v>
      </c>
      <c r="E2467" s="7" t="n">
        <f>HYPERLINK("https://www.somogyi.hu/data/img/product_main_images/small/17510.jpg","https://www.somogyi.hu/data/img/product_main_images/small/17510.jpg")</f>
        <v>0.0</v>
      </c>
      <c r="F2467" s="2" t="inlineStr">
        <is>
          <t>5999084955328</t>
        </is>
      </c>
      <c r="G2467" s="4" t="inlineStr">
        <is>
          <t>Hogyan tehet szert egy helytakarékos, mégis varázslatos karácsonyfára, ami tökéletesen illeszkedik a kisebb terekhez is? A Home KMF 7/180 fél műfenyő ideális választás mindazok számára, akik korlátozott hellyel rendelkeznek, de nem akarnak lemondani a látványos karácsonyi dekorációról. 
Ez az egyedi kialakítású fél műfenyő sík oldalával közvetlenül a falhoz állítható, így helyet takarít meg, miközben teljes karácsonyi hangulatot biztosít. A 180 cm magas, 100 cm-es legnagyobb átmérővel rendelkező fél műfenyő nemcsak helytakarékos, hanem rendkívül elegáns megoldást kínál, hogy bármelyik szoba központi elemévé váljon az ünnepek alatt. A műfenyő 240 db melegfehér LED-del van felszerelve, amelyek lágy, kellemes fényárban fürdetik az otthont. A beépített világítás nemcsak időt spórol meg, hiszen nem kell külön fényfüzéreket elhelyeznie, de egységes, harmonikus fényeloszlást biztosít, ami tökéletesen kiemeli a karácsonyi díszek szépségét. 
A műfenyő 537 csúcsos ága gondosan elrendezett, hogy dús és természetes megjelenést nyújtson. A 3D és 2D vegyes tűlevelek élethű megjelenést biztosítanak, miközben erős alapot adnak a díszítéshez. A zsanéros ágcsatlakozás egyszerűsíti az összeszerelést, így a fa néhány perc alatt felállítható, és az ünnepek végén gyorsan szétszedhető. A fém talp biztosítja a stabilitást, így még kisebb gyerekek vagy háziállatok jelenlétében is nyugodt lehet, hogy a fa biztonságosan áll.
Ez a műfenyő beltéri kivitelű, és hálózati adapterrel működik, így nincs szükség elemekre, és hosszú távon megbízható tápellátást biztosít. A minőségi PE és PVC anyagból készült tűlevelek nemcsak tartósak, de évről évre megtartják élethű megjelenésüket, biztosítva, hogy ez a karácsonyfa hosszú évekig otthona éke maradhat.
Ne hagyja ki ezt a tökéletes megoldást kisebb terek számára! Válassza a Home KMF 7/180 fél műfenyőt beépített világítással, és élvezze a helytakarékos, mégis lenyűgöző karácsonyi hangulatot otthonában!</t>
        </is>
      </c>
    </row>
    <row r="2468">
      <c r="A2468" s="3" t="inlineStr">
        <is>
          <t>CBT 320</t>
        </is>
      </c>
      <c r="B2468" s="2" t="inlineStr">
        <is>
          <t>Home CBT 320 virágzó cseresznyefa, 320 db LED, IP44, fém talp, kültéri, beltéri</t>
        </is>
      </c>
      <c r="C2468" s="1" t="n">
        <v>40990.0</v>
      </c>
      <c r="D2468" s="7" t="n">
        <f>HYPERLINK("https://www.somogyi.hu/product/home-cbt-320-viragzo-cseresznyefa-320-db-led-ip44-fem-talp-kulteri-belteri-cbt-320-11965","https://www.somogyi.hu/product/home-cbt-320-viragzo-cseresznyefa-320-db-led-ip44-fem-talp-kulteri-belteri-cbt-320-11965")</f>
        <v>0.0</v>
      </c>
      <c r="E2468" s="7" t="n">
        <f>HYPERLINK("https://www.somogyi.hu/data/img/product_main_images/small/11965.jpg","https://www.somogyi.hu/data/img/product_main_images/small/11965.jpg")</f>
        <v>0.0</v>
      </c>
      <c r="F2468" s="2" t="inlineStr">
        <is>
          <t>5999084901776</t>
        </is>
      </c>
      <c r="G2468" s="4" t="inlineStr">
        <is>
          <t>Hozza be a virágok varázsát otthonába a CBT 320 nevű LED-es virágzó cseresznyefával! 
Ez a lenyűgöző dekoráció ideális választás mind beltéri, mind kültéri használatra, így bármilyen teret feldobhat ezzel a különleges elemmel. 
A LED-es virágzó cseresznyefa 320 darab melegfehér LED-del van felszerelve, amelyek gyönyörű fényekkel életre keltik a cseresznyevirágot formázó dekorációt. 
A fa állítható ágakkal rendelkezik, így az ön ízlése szerint formálhatja dekorációját. 
A termék tápellátását egy kültéri IP44-es hálózati adapter szolgáltatja, amely biztonságos működést nyújt kültéren is. 
A CBT 320 LED-es virágzó cseresznyefa biztosan lenyűgöző és egyedi díszítőelem lesz az otthonában!</t>
        </is>
      </c>
    </row>
    <row r="2469">
      <c r="A2469" s="3" t="inlineStr">
        <is>
          <t>KMF 4/210</t>
        </is>
      </c>
      <c r="B2469" s="2" t="inlineStr">
        <is>
          <t>Home KMF 4/210 műfenyő, 210 cm magasság, 142 cm átmérő</t>
        </is>
      </c>
      <c r="C2469" s="1" t="n">
        <v>107990.0</v>
      </c>
      <c r="D2469" s="7" t="n">
        <f>HYPERLINK("https://www.somogyi.hu/product/home-kmf-4-210-mufenyo-210-cm-magassag-142-cm-atmero-kmf-4-210-16082","https://www.somogyi.hu/product/home-kmf-4-210-mufenyo-210-cm-magassag-142-cm-atmero-kmf-4-210-16082")</f>
        <v>0.0</v>
      </c>
      <c r="E2469" s="7" t="n">
        <f>HYPERLINK("https://www.somogyi.hu/data/img/product_main_images/small/16082.jpg","https://www.somogyi.hu/data/img/product_main_images/small/16082.jpg")</f>
        <v>0.0</v>
      </c>
      <c r="F2469" s="2" t="inlineStr">
        <is>
          <t>5999084941147</t>
        </is>
      </c>
      <c r="G2469" s="4" t="inlineStr">
        <is>
          <t>Hogyan teremthet tökéletes karácsonyi hangulatot anélkül, hogy egy igazi fenyőfa gondjaival kellene megküzdenie? A Home KMF 4/210 műfenyő ideális választás azok számára, akik szeretnék élvezni a klasszikus karácsonyi fenyő látványát és hangulatát, de praktikus, környezetbarát és időtálló megoldást keresnek. 
Ez a 210 cm magas műfenyő a legmagasabb minőségi szabványoknak megfelelően készült, így évekig gyönyörködhet benne anélkül, hogy a levelek hullásával vagy a fenyőfa kiszáradásával kellene számolnia. A műfenyő 3D és 2D tűlevelek kombinációjából áll, melyek rendkívül élethű megjelenést kölcsönöznek neki. A 3D levelek gondoskodnak arról, hogy a fa minden oldalról természetes hatást keltsen, míg a 2D levelek sűrűséget és tartást adnak, ezáltal teltebb és dúsabb megjelenést biztosítva. A 3068 csúcs gondosan elhelyezett ágai és levelei tökéletes alapot nyújtanak karácsonyi díszekhez és fényfüzérekhez, így egyedülálló és varázslatos dekorációt hozhat létre otthonában.
A műfenyő 142 cm-es legnagyobb átmérője ideális arányt teremt a szobában, így impozáns megjelenésével betölti a teret anélkül, hogy túl sok helyet foglalna. A masszív fém talp biztosítja a stabilitást, így nem kell aggódnia, hogy a fa megbillen vagy elmozdul, még akkor sem, ha nehezebb karácsonyi díszekkel látja el. A fa alapanyaga PE (polietilén) és PVC (polivinil-klorid) keveréke, amely hosszú élettartamot és tartósságot biztosít, így évről évre újra felhasználhatja, miközben a fa formáját és megjelenését változatlanul megőrzi. Ezen felül, a műfenyő kiváló alternatíva a környezettudatos vásárlók számára, mivel nem kell évente új fenyőt kivágni és kidobni, ezáltal csökkentve az ökológiai lábnyomot.
A Home KMF 4/210 műfenyő tökéletes választás, ha egy olyan karácsonyfára vágyik, amely élethű megjelenést nyújt, könnyen összeszerelhető, és a szezon végén egyszerűen tárolható. Az időtálló dizájn, a kiváló minőségű anyagok és a figyelmes tervezés mind-mind hozzájárulnak ahhoz, hogy otthonában minden évben ugyanolyan varázslatos legyen az ünnepi hangulat.
Ne várjon az utolsó pillanatig! Válassza a Home KMF 4/210 műfenyőt, és tegye a karácsonyát környezettudatosabbá és gondtalanabbá – a tökéletes karácsonyfa már csak egy kattintásnyira van!</t>
        </is>
      </c>
    </row>
    <row r="2470">
      <c r="A2470" s="3" t="inlineStr">
        <is>
          <t>KMF 4/150</t>
        </is>
      </c>
      <c r="B2470" s="2" t="inlineStr">
        <is>
          <t>Home KMF 4/150 műfenyő, 150 cm magasság, 106 cm átmérő</t>
        </is>
      </c>
      <c r="C2470" s="1" t="n">
        <v>53190.0</v>
      </c>
      <c r="D2470" s="7" t="n">
        <f>HYPERLINK("https://www.somogyi.hu/product/home-kmf-4-150-mufenyo-150-cm-magassag-106-cm-atmero-kmf-4-150-16080","https://www.somogyi.hu/product/home-kmf-4-150-mufenyo-150-cm-magassag-106-cm-atmero-kmf-4-150-16080")</f>
        <v>0.0</v>
      </c>
      <c r="E2470" s="7" t="n">
        <f>HYPERLINK("https://www.somogyi.hu/data/img/product_main_images/small/16080.jpg","https://www.somogyi.hu/data/img/product_main_images/small/16080.jpg")</f>
        <v>0.0</v>
      </c>
      <c r="F2470" s="2" t="inlineStr">
        <is>
          <t>5999084941123</t>
        </is>
      </c>
      <c r="G2470" s="4" t="inlineStr">
        <is>
          <t>Hogyan teremthet tökéletes karácsonyi hangulatot anélkül, hogy egy igazi fenyőfa gondjaival kellene megküzdenie? A Home KMF 4/150 műfenyő ideális választás azok számára, akik szeretnék élvezni a klasszikus karácsonyi fenyő látványát és hangulatát, de praktikus, környezetbarát és időtálló megoldást keresnek. 
Ez a 150 cm magas műfenyő a legmagasabb minőségi szabványoknak megfelelően készült, így évekig gyönyörködhet benne anélkül, hogy a levelek hullásával vagy a fenyőfa kiszáradásával kellene számolnia. A műfenyő 3D és 2D tűlevelek kombinációjából áll, melyek rendkívül élethű megjelenést kölcsönöznek neki. A 3D levelek gondoskodnak arról, hogy a fa minden oldalról természetes hatást keltsen, míg a 2D levelek sűrűséget és tartást adnak, ezáltal teltebb és dúsabb megjelenést biztosítva. A 1584 csúcs gondosan elhelyezett ágai és levelei tökéletes alapot nyújtanak karácsonyi díszekhez és fényfüzérekhez, így egyedülálló és varázslatos dekorációt hozhat létre otthonában.
A műfenyő 106 cm-es legnagyobb átmérője ideális arányt teremt a szobában, így impozáns megjelenésével betölti a teret anélkül, hogy túl sok helyet foglalna. A masszív fém talp biztosítja a stabilitást, így nem kell aggódnia, hogy a fa megbillen vagy elmozdul, még akkor sem, ha nehezebb karácsonyi díszekkel látja el. A fa alapanyaga PE (polietilén) és PVC (polivinil-klorid) keveréke, amely hosszú élettartamot és tartósságot biztosít, így évről évre újra felhasználhatja, miközben a fa formáját és megjelenését változatlanul megőrzi. Ezen felül, a műfenyő kiváló alternatíva a környezettudatos vásárlók számára, mivel nem kell évente új fenyőt kivágni és kidobni, ezáltal csökkentve az ökológiai lábnyomot.
A Home KMF 4/150 műfenyő tökéletes választás, ha egy olyan karácsonyfára vágyik, amely élethű megjelenést nyújt, könnyen összeszerelhető, és a szezon végén egyszerűen tárolható. Az időtálló dizájn, a kiváló minőségű anyagok és a figyelmes tervezés mind-mind hozzájárulnak ahhoz, hogy otthonában minden évben ugyanolyan varázslatos legyen az ünnepi hangulat.
Ne várjon az utolsó pillanatig! Válassza a Home KMF 4/150 műfenyőt, és tegye a karácsonyát környezettudatosabbá és gondtalanabbá – a tökéletes karácsonyfa már csak egy kattintásnyira van!</t>
        </is>
      </c>
    </row>
    <row r="2471">
      <c r="A2471" s="3" t="inlineStr">
        <is>
          <t>KMF 6/150</t>
        </is>
      </c>
      <c r="B2471" s="2" t="inlineStr">
        <is>
          <t>Home KMF 6/150 műfenyő beépített világítással, 250 db LED, 150 cm magasság, 94 cm átmérő, talpkapcsoló, 4 funkció</t>
        </is>
      </c>
      <c r="C2471" s="1" t="n">
        <v>49290.0</v>
      </c>
      <c r="D2471" s="7" t="n">
        <f>HYPERLINK("https://www.somogyi.hu/product/home-kmf-6-150-mufenyo-beepitett-vilagitassal-250-db-led-150-cm-magassag-94-cm-atmero-talpkapcsolo-4-funkcio-kmf-6-150-16523","https://www.somogyi.hu/product/home-kmf-6-150-mufenyo-beepitett-vilagitassal-250-db-led-150-cm-magassag-94-cm-atmero-talpkapcsolo-4-funkcio-kmf-6-150-16523")</f>
        <v>0.0</v>
      </c>
      <c r="E2471" s="7" t="n">
        <f>HYPERLINK("https://www.somogyi.hu/data/img/product_main_images/small/16523.jpg","https://www.somogyi.hu/data/img/product_main_images/small/16523.jpg")</f>
        <v>0.0</v>
      </c>
      <c r="F2471" s="2" t="inlineStr">
        <is>
          <t>5999084945558</t>
        </is>
      </c>
      <c r="G2471" s="4" t="inlineStr">
        <is>
          <t>Szeretne idén egy olyan karácsonyfát, amely már a fényekről is gondoskodik, miközben könnyen összeállítható és lenyűgözően néz ki? A Home KMF 6/150 műfenyő beépített világítással tökéletes megoldás, ha szeretné a karácsonyi készülődést egyszerűbbé és látványosabbá tenni. 
Ez a 150 cm magas, prémium minőségű műfenyő 250 db speciális, kétszínű LED-del van felszerelve, amelyek garantálják az ünnepi ragyogást, mind melegfehér, mind pedig színes fényben. A különleges talpkapcsoló segítségével négyféle funkció közül választhat: választhatja a melegfehér állófényű megvilágítást, a színes állófényű változatot, a felváltva melegfehér és színes fényt, vagy akár teljesen ki is kapcsolhatja a világítást. Ez a sokoldalúság lehetővé teszi, hogy a fa minden alkalomhoz és hangulathoz alkalmazkodjon.
A műfenyő ágai 3D és 2D vegyes tűlevelekből készültek, amelyek élethű megjelenést biztosítanak, így könnyen összetéveszthető egy valódi fenyővel. A 558 csúcsos ágak dús és rendezett elrendezést biztosítanak, ami tökéletes alapot nyújt a karácsonyi díszeknek és fényfüzéreknek, hogy valóban egyedi ünnepi hangulatot varázsoljon otthonába. Az ágak zsanéros csatlakozása garantálja az egyszerű és gyors összeszerelést: mindössze a törzset kell összeilleszteni, és a LED-ek áramkörei automatikusan záródnak, így nincs szükség bonyolult vezetékezésre.
A fa stabilitásáról a masszív fém talp gondoskodik, amely biztosítja, hogy a fa szilárdan álljon, még akkor is, ha gazdagon fel van díszítve. A műfenyő magassága 150 cm, legnagyobb átmérője pedig 94 cm, így kompakt, mégis impozáns megjelenést kölcsönöz minden helyiségben. Az egyszerűen szétszedhető kialakítás lehetővé teszi a könnyű tárolást, így a fa gyorsan és kényelmesen elpakolható az ünnepek után.
A Home KMF 6/150 műfenyő beltéri kivitelű, és hálózati adapterrel működik, ami hosszú üzemidőt biztosít anélkül, hogy aggódnia kellene az elemek cseréje miatt. A PE és PVC anyagokból készült tűlevelek hosszú élettartamot és kiváló tartósságot biztosítanak, így ez a műfenyő évről évre tökéletesen megőrzi formáját és szépségét.
Ne maradjon le az ideális karácsonyfáról! Rendelje meg most a Home KMF 6/150 műfenyőt beépített világítással, és tegye varázslatossá az ünnepi hangulatot könnyedén, minden évben!</t>
        </is>
      </c>
    </row>
    <row r="2472">
      <c r="A2472" s="3" t="inlineStr">
        <is>
          <t>KMF 6/210</t>
        </is>
      </c>
      <c r="B2472" s="2" t="inlineStr">
        <is>
          <t>Home KMF 6/210 műfenyő beépített világítással, 500 db LED, 210 cm magasság, 119 cm átmérő, talpkapcsoló, 4 funkció</t>
        </is>
      </c>
      <c r="C2472" s="1" t="n">
        <v>88490.0</v>
      </c>
      <c r="D2472" s="7" t="n">
        <f>HYPERLINK("https://www.somogyi.hu/product/home-kmf-6-210-mufenyo-beepitett-vilagitassal-500-db-led-210-cm-magassag-119-cm-atmero-talpkapcsolo-4-funkcio-kmf-6-210-16525","https://www.somogyi.hu/product/home-kmf-6-210-mufenyo-beepitett-vilagitassal-500-db-led-210-cm-magassag-119-cm-atmero-talpkapcsolo-4-funkcio-kmf-6-210-16525")</f>
        <v>0.0</v>
      </c>
      <c r="E2472" s="7" t="n">
        <f>HYPERLINK("https://www.somogyi.hu/data/img/product_main_images/small/16525.jpg","https://www.somogyi.hu/data/img/product_main_images/small/16525.jpg")</f>
        <v>0.0</v>
      </c>
      <c r="F2472" s="2" t="inlineStr">
        <is>
          <t>5999084945572</t>
        </is>
      </c>
      <c r="G2472" s="4" t="inlineStr">
        <is>
          <t>Szeretne idén egy olyan karácsonyfát, amely már a fényekről is gondoskodik, miközben könnyen összeállítható és lenyűgözően néz ki? A Home KMF 6/210 műfenyő beépített világítással tökéletes megoldás, ha szeretné a karácsonyi készülődést egyszerűbbé és látványosabbá tenni. 
Ez a 210 cm magas, prémium minőségű műfenyő 500 db speciális, kétszínű LED-del van felszerelve, amelyek garantálják az ünnepi ragyogást, mind melegfehér, mind pedig színes fényben. A különleges talpkapcsoló segítségével négyféle funkció közül választhat: választhatja a melegfehér állófényű megvilágítást, a színes állófényű változatot, a felváltva melegfehér és színes fényt, vagy akár teljesen ki is kapcsolhatja a világítást. Ez a sokoldalúság lehetővé teszi, hogy a fa minden alkalomhoz és hangulathoz alkalmazkodjon.
A műfenyő ágai 3D és 2D vegyes tűlevelekből készültek, amelyek élethű megjelenést biztosítanak, így könnyen összetéveszthető egy valódi fenyővel. A 1182 csúcsos ágak dús és rendezett elrendezést biztosítanak, ami tökéletes alapot nyújt a karácsonyi díszeknek és fényfüzéreknek, hogy valóban egyedi ünnepi hangulatot varázsoljon otthonába. Az ágak zsanéros csatlakozása garantálja az egyszerű és gyors összeszerelést: mindössze a törzset kell összeilleszteni, és a LED-ek áramkörei automatikusan záródnak, így nincs szükség bonyolult vezetékezésre.
A fa stabilitásáról a masszív fém talp gondoskodik, amely biztosítja, hogy a fa szilárdan álljon, még akkor is, ha gazdagon fel van díszítve. A műfenyő magassága 210 cm, legnagyobb átmérője pedig 119 cm, így kompakt, mégis impozáns megjelenést kölcsönöz minden helyiségben. Az egyszerűen szétszedhető kialakítás lehetővé teszi a könnyű tárolást, így a fa gyorsan és kényelmesen elpakolható az ünnepek után.
A Home KMF 6/210 műfenyő beltéri kivitelű, és hálózati adapterrel működik, ami hosszú üzemidőt biztosít anélkül, hogy aggódnia kellene az elemek cseréje miatt. A PE és PVC anyagokból készült tűlevelek hosszú élettartamot és kiváló tartósságot biztosítanak, így ez a műfenyő évről évre tökéletesen megőrzi formáját és szépségét.
Ne maradjon le az ideális karácsonyfáról! Rendelje meg most a Home KMF 6/210 műfenyőt beépített világítással, és tegye varázslatossá az ünnepi hangulatot könnyedén, minden évben!</t>
        </is>
      </c>
    </row>
    <row r="2473">
      <c r="A2473" s="3" t="inlineStr">
        <is>
          <t>KIX 4/150</t>
        </is>
      </c>
      <c r="B2473" s="2" t="inlineStr">
        <is>
          <t>Optikai szálas műfenyő</t>
        </is>
      </c>
      <c r="C2473" s="1" t="n">
        <v>32990.0</v>
      </c>
      <c r="D2473" s="7" t="n">
        <f>HYPERLINK("https://www.somogyi.hu/product/optikai-szalas-mufenyo-kix-4-150-16521","https://www.somogyi.hu/product/optikai-szalas-mufenyo-kix-4-150-16521")</f>
        <v>0.0</v>
      </c>
      <c r="E2473" s="7" t="n">
        <f>HYPERLINK("https://www.somogyi.hu/data/img/product_main_images/small/16521.jpg","https://www.somogyi.hu/data/img/product_main_images/small/16521.jpg")</f>
        <v>0.0</v>
      </c>
      <c r="F2473" s="2" t="inlineStr">
        <is>
          <t>5999084945534</t>
        </is>
      </c>
      <c r="G2473" s="4" t="inlineStr">
        <is>
          <t>A gyors megoldások kedvelőinek ajánljuk KIX 4 szériánk 150 cm magas darabját, amely 180 db csúccsal és 180 db LED-del rendelkezik. A hidegfehér optikai szálas dekoráció mellett 16 db színváltó EVA gömb is díszíti műfenyőnket. Kész megoldás az ünnepi rohanásban!</t>
        </is>
      </c>
    </row>
    <row r="2474">
      <c r="A2474" s="6" t="inlineStr">
        <is>
          <t xml:space="preserve">   Dekorációs világítás / Ablakdísz</t>
        </is>
      </c>
      <c r="B2474" s="6" t="inlineStr">
        <is>
          <t/>
        </is>
      </c>
      <c r="C2474" s="6" t="inlineStr">
        <is>
          <t/>
        </is>
      </c>
      <c r="D2474" s="6" t="inlineStr">
        <is>
          <t/>
        </is>
      </c>
      <c r="E2474" s="6" t="inlineStr">
        <is>
          <t/>
        </is>
      </c>
      <c r="F2474" s="6" t="inlineStr">
        <is>
          <t/>
        </is>
      </c>
      <c r="G2474" s="6" t="inlineStr">
        <is>
          <t/>
        </is>
      </c>
    </row>
    <row r="2475">
      <c r="A2475" s="3" t="inlineStr">
        <is>
          <t>KAD 07/RD</t>
        </is>
      </c>
      <c r="B2475" s="2" t="inlineStr">
        <is>
          <t>Home KAD 07/RD gyertyapiramis, 7 db izzó, piros fa, L2040C/E10</t>
        </is>
      </c>
      <c r="C2475" s="1" t="n">
        <v>9890.0</v>
      </c>
      <c r="D2475" s="7" t="n">
        <f>HYPERLINK("https://www.somogyi.hu/product/home-kad-07-rd-gyertyapiramis-7-db-izzo-piros-fa-l2040c-e10-kad-07-rd-8972","https://www.somogyi.hu/product/home-kad-07-rd-gyertyapiramis-7-db-izzo-piros-fa-l2040c-e10-kad-07-rd-8972")</f>
        <v>0.0</v>
      </c>
      <c r="E2475" s="7" t="n">
        <f>HYPERLINK("https://www.somogyi.hu/data/img/product_main_images/small/08972.jpg","https://www.somogyi.hu/data/img/product_main_images/small/08972.jpg")</f>
        <v>0.0</v>
      </c>
      <c r="F2475" s="2" t="inlineStr">
        <is>
          <t>5998312778524</t>
        </is>
      </c>
      <c r="G2475" s="4" t="inlineStr">
        <is>
          <t>Varázsolja otthonát egy igazi karácsonyi mesevilággá a KAD 07/RD gyertyapiramis segítségével!
A 7 db piros gyertyaláng alakú izzó által keltett kellemes, meghitt fény mellett a 1,5 m hosszú fehér vezeték garantálja a felhasználói kényelmet és a dísz könnyű elhelyezhetőségét bárhol a lakásban. 
Az eszköz 230 V~ tápellátással működik, így nem kell elemekkel bajlódnia. Ha bármikor cserére szorulna egy-egy izzó, a megfelelő pótizzó típusa L 2040C/E10, mely gyorsan beszerezhető. 
Mindezt a pirosra festett fa ablakív koronázza meg, mely elegáns és időtálló kiegészítőjévé válik otthonának.
Válassza a KAD 07/RD gyertyapiramist, hogy otthona ünnepi fényekben ragyoghasson!</t>
        </is>
      </c>
    </row>
    <row r="2476">
      <c r="A2476" s="3" t="inlineStr">
        <is>
          <t>KLW 17 S</t>
        </is>
      </c>
      <c r="B2476" s="2" t="inlineStr">
        <is>
          <t>Home KLW 17 S ajtódísz, ablakdísz, fa, csillag forma, 6 db LED, lézervágott, hóember, kapcsolható</t>
        </is>
      </c>
      <c r="C2476" s="1" t="n">
        <v>4290.0</v>
      </c>
      <c r="D2476" s="7" t="n">
        <f>HYPERLINK("https://www.somogyi.hu/product/home-klw-17-s-ajtodisz-ablakdisz-fa-csillag-forma-6-db-led-lezervagott-hoember-kapcsolhato-klw-17-s-16971","https://www.somogyi.hu/product/home-klw-17-s-ajtodisz-ablakdisz-fa-csillag-forma-6-db-led-lezervagott-hoember-kapcsolhato-klw-17-s-16971")</f>
        <v>0.0</v>
      </c>
      <c r="E2476" s="7" t="n">
        <f>HYPERLINK("https://www.somogyi.hu/data/img/product_main_images/small/16971.jpg","https://www.somogyi.hu/data/img/product_main_images/small/16971.jpg")</f>
        <v>0.0</v>
      </c>
      <c r="F2476" s="2" t="inlineStr">
        <is>
          <t>5999084950033</t>
        </is>
      </c>
      <c r="G2476" s="4" t="inlineStr">
        <is>
          <t>Egy varázslatos ajtó- vagy ablakdíszt keres, amely feldobja az otthonát és meghitt hangulatot teremt a téli ünnepek idején? A Home KLW 17 S ajtódísz és ablakdísz pontosan erre szolgál! 
Ez a különleges dísz egy csillag formájú fa panelből készül, melyet lézervágással alakítottak ki, hogy precíz és részletgazdag legyen. A hóember motívum tovább fokozza az ünnepi hangulatot, és örömteli mosolyt csal az arcokra. A 6 db LED fényforrás extra varázslatot ad a dísznek, amely gyönyörű fényjátékot teremt a sötét téli estéken. 
Ne hagyja ki ezt a lehetőséget! Szerezze be most a Home KLW 17 S ajtó- és ablakdíszt, és varázsold otthonodat az ünnepi szezonban!</t>
        </is>
      </c>
    </row>
    <row r="2477">
      <c r="A2477" s="3" t="inlineStr">
        <is>
          <t>KLW 17 R</t>
        </is>
      </c>
      <c r="B2477" s="2" t="inlineStr">
        <is>
          <t>Home KLW 17 R fából készült csillag alakú ablak és ajtódísz, rénszarvas és fenyőfa díszítéssel, lézerrel kivágott motívumok, 6 db melegfehér LED</t>
        </is>
      </c>
      <c r="C2477" s="1" t="n">
        <v>4290.0</v>
      </c>
      <c r="D2477" s="7" t="n">
        <f>HYPERLINK("https://www.somogyi.hu/product/home-klw-17-r-fabol-keszult-csillag-alaku-ablak-es-ajtodisz-renszarvas-es-fenyofa-diszitessel-lezerrel-kivagott-motivumok-6-db-melegfeher-led-klw-17-r-16982","https://www.somogyi.hu/product/home-klw-17-r-fabol-keszult-csillag-alaku-ablak-es-ajtodisz-renszarvas-es-fenyofa-diszitessel-lezerrel-kivagott-motivumok-6-db-melegfeher-led-klw-17-r-16982")</f>
        <v>0.0</v>
      </c>
      <c r="E2477" s="7" t="n">
        <f>HYPERLINK("https://www.somogyi.hu/data/img/product_main_images/small/16982.jpg","https://www.somogyi.hu/data/img/product_main_images/small/16982.jpg")</f>
        <v>0.0</v>
      </c>
      <c r="F2477" s="2" t="inlineStr">
        <is>
          <t>5999084950149</t>
        </is>
      </c>
      <c r="G2477" s="4" t="inlineStr">
        <is>
          <t>Hogyan teheti otthonát igazán különlegessé az ünnepek alatt? A Home KLW 17 R fából készült csillag alakú dísz garantáltan felkelti az érdeklődést, legyen szó akár egy meghitt karácsonyi este hangulatáról vagy az ünnepi dekoráció tökéletesítéséről. 
A dísz lézerrel kivágott, részletgazdag motívumokkal díszített csillag, amelyben rénszarvas és fenyőfa formák kapnak helyet. A lézerprecízióval készült motívumok kifinomult, modern megjelenést kölcsönöznek ennek a hagyományos ünnepi szimbólumnak. A 6 db melegfehér LED gyönyörű, meghitt fényt biztosít, ami lágyan bevilágítja az otthoni teret. Ez az ünnepi fény nemcsak dekoratív, de kellemes, nyugodt atmoszférát is teremt, így ideális választás ajtókra, ablakokra vagy akár a nappaliba is. 
A LED-ek alacsony energiafogyasztásúak, így a dísz hosszú órákon keresztül világít, miközben alig fogyaszt energiát. Az OFF/ON (6 óra be, 18 óra ki) időzítő funkció pedig rendkívül praktikus: a dísz automatikusan be- és kikapcsol, így Önnek nem kell foglalkoznia a manuális üzemeléssel. Ezzel a funkcióval minden nap, az Ön által beállított időben kel életre a dísz, és adja meg az otthon melegét sugárzó ünnepi fényt. A dísz tápellátását 2 db 1,5 V-os (AAA) elem biztosítja, amelyek nem tartozékok, de egyszerűen beszerezhetők. 
Az elemhasználatnak köszönhetően nincs szükség bonyolult kábelezésre, így bárhová könnyedén felhelyezhető, ahol csak szeretné. A fa anyaga természetes és környezetbarát választás, mely a modern minimalista dekorációhoz és a hagyományos karácsonyi hangulathoz egyaránt illik. Ez a dísz nemcsak szépen mutat az ablakban vagy az ajtón, de emlékezetes ünnepi hangulatot teremt bármilyen környezetben. Különösen ajánlott azoknak, akik szeretik a természetes, mégis elegáns ünnepi dekorációkat.
Válassza a Home KLW 17 R fából készült csillag alakú díszt, és tegye otthonát varázslatossá az ünnepek alatt! Rendelje meg most, és készüljön fel a különleges pillanatokra ezzel a lélegzetelállító dekorációval!</t>
        </is>
      </c>
    </row>
    <row r="2478">
      <c r="A2478" s="3" t="inlineStr">
        <is>
          <t>KAD 03</t>
        </is>
      </c>
      <c r="B2478" s="2" t="inlineStr">
        <is>
          <t>Home KAD 03 gyertyapiramis, 7 db izzó, fehér festett fa, L7D</t>
        </is>
      </c>
      <c r="C2478" s="1" t="n">
        <v>6890.0</v>
      </c>
      <c r="D2478" s="7" t="n">
        <f>HYPERLINK("https://www.somogyi.hu/product/home-kad-03-gyertyapiramis-7-db-izzo-feher-festett-fa-l7d-kad-03-4934","https://www.somogyi.hu/product/home-kad-03-gyertyapiramis-7-db-izzo-feher-festett-fa-l7d-kad-03-4934")</f>
        <v>0.0</v>
      </c>
      <c r="E2478" s="7" t="n">
        <f>HYPERLINK("https://www.somogyi.hu/data/img/product_main_images/small/04934.jpg","https://www.somogyi.hu/data/img/product_main_images/small/04934.jpg")</f>
        <v>0.0</v>
      </c>
      <c r="F2478" s="2" t="inlineStr">
        <is>
          <t>5998312743560</t>
        </is>
      </c>
      <c r="G2478" s="4" t="inlineStr">
        <is>
          <t>Szeretne egy gyönyörű díszt, ami nem csak az ablakpárkányt díszíti, hanem az egész szobát meleg fénybe borítja? A KAD 03 gyertyapiramis ideális választás azok számára, akik az ünnepi hangulatot eleganciával párosítanák.
A 7 db melegfehér csavaros izzó garantálja a hangulatos világítást, melyet az 1,5 m hosszú fehér vezetéken lévő kapcsolóval könnyedén szabályozhat. Az esetleges izzócsere sem okoz problémát, hiszen a pótizzó típusa L 7D, mely könnyedén beszerezhető. 
A termék további különlegessége a fehérre festett fa ablakív, ami a hagyományos és modern elemek tökéletes ötvözeteként funkcionál. Tápellátása 230 V~.
Ne hagyja ki ezt a kivételes darabot – tegye az otthonát még hangulatosabbá a KAD 03 gyertyapiramissal!</t>
        </is>
      </c>
    </row>
    <row r="2479">
      <c r="A2479" s="3" t="inlineStr">
        <is>
          <t>KID 701/WW</t>
        </is>
      </c>
      <c r="B2479" s="2" t="inlineStr">
        <is>
          <t>Home KID 701/WW hókristály ablakdísz, 16 db LED, akril, melegfehér</t>
        </is>
      </c>
      <c r="C2479" s="1" t="n">
        <v>3990.0</v>
      </c>
      <c r="D2479" s="7" t="n">
        <f>HYPERLINK("https://www.somogyi.hu/product/home-kid-701-ww-hokristaly-ablakdisz-16-db-led-akril-melegfeher-kid-701-ww-17748","https://www.somogyi.hu/product/home-kid-701-ww-hokristaly-ablakdisz-16-db-led-akril-melegfeher-kid-701-ww-17748")</f>
        <v>0.0</v>
      </c>
      <c r="E2479" s="7" t="n">
        <f>HYPERLINK("https://www.somogyi.hu/data/img/product_main_images/small/17748.jpg","https://www.somogyi.hu/data/img/product_main_images/small/17748.jpg")</f>
        <v>0.0</v>
      </c>
      <c r="F2479" s="2" t="inlineStr">
        <is>
          <t>5999084957704</t>
        </is>
      </c>
      <c r="G2479" s="4" t="inlineStr">
        <is>
          <t>Egy tökéletes téli ablakdíszt keres? A KID 701/WW LED-es hókristály ablakdísz pontosan ilyen. 
Ez az ablakdísz akril anyagból készült, melyet 16 db melegfehér LED világít meg. Az átlátszó vezetékkel könnyedén elhelyezhető bármely ablakon.
A tápellátáshoz 3 db 1,5 V (AA) elemre van szükség, amelyek nem tartozékai a terméknek. 
Válassza a KID 701/WW LED-es hókristályt és hozza el a téli hangulatot otthonába!</t>
        </is>
      </c>
    </row>
    <row r="2480">
      <c r="A2480" s="3" t="inlineStr">
        <is>
          <t>KLW 32</t>
        </is>
      </c>
      <c r="B2480" s="2" t="inlineStr">
        <is>
          <t>Home KLW 32 ablakdísz, ajtódísz, fa, 6 db LED, lézervágott, kapcsolható</t>
        </is>
      </c>
      <c r="C2480" s="1" t="n">
        <v>5390.0</v>
      </c>
      <c r="D2480" s="7" t="n">
        <f>HYPERLINK("https://www.somogyi.hu/product/home-klw-32-ablakdisz-ajtodisz-fa-6-db-led-lezervagott-kapcsolhato-klw-32-16969","https://www.somogyi.hu/product/home-klw-32-ablakdisz-ajtodisz-fa-6-db-led-lezervagott-kapcsolhato-klw-32-16969")</f>
        <v>0.0</v>
      </c>
      <c r="E2480" s="7" t="n">
        <f>HYPERLINK("https://www.somogyi.hu/data/img/product_main_images/small/16969.jpg","https://www.somogyi.hu/data/img/product_main_images/small/16969.jpg")</f>
        <v>0.0</v>
      </c>
      <c r="F2480" s="2" t="inlineStr">
        <is>
          <t>5999084950019</t>
        </is>
      </c>
      <c r="G2480" s="4" t="inlineStr">
        <is>
          <t>Szeretné otthonát egyedi és stílusos dekorációval feldobni? A KLW 32 fából készült ablak- és ajtódísz tökéletes választás minden lakásban!
A lézerrel kivágott motívumokkal díszített dekoráció 6 db melegfehér LED-del világít, amelyek barátságos és kellemes atmoszférát teremtenek. 
Az ismétlődő időzítés funkcióval (6 óra bekapcsolt és 18 óra kikapcsolt állapot) automatikusan irányíthatja a fényeket, anélkül, hogy minden nap manuálisan be- és kikapcsolná. 
A tápellátás 2 x 1,5 V (AAA) elemmel történik, amelyek nem tartoznak a csomaghoz.
Díszítse otthonát a KLW 32 fa dekorációval, és élvezze a melegfehér LED-ek által teremtett hangulatos atmoszférát! 
Tegye meg most az első lépést egy barátságosabb és melegebb otthon felé a KLW 32 fa ablak- és ajtódísszel!</t>
        </is>
      </c>
    </row>
    <row r="2481">
      <c r="A2481" s="3" t="inlineStr">
        <is>
          <t>KID 503 B/M</t>
        </is>
      </c>
      <c r="B2481" s="2" t="inlineStr">
        <is>
          <t>Home KID 503 B/M csillag ablakdísz, 35 db színes LED, 3 funkció, kapcsolható</t>
        </is>
      </c>
      <c r="C2481" s="1" t="n">
        <v>2290.0</v>
      </c>
      <c r="D2481" s="7" t="n">
        <f>HYPERLINK("https://www.somogyi.hu/product/home-kid-503-b-m-csillag-ablakdisz-35-db-szines-led-3-funkcio-kapcsolhato-kid-503-b-m-17333","https://www.somogyi.hu/product/home-kid-503-b-m-csillag-ablakdisz-35-db-szines-led-3-funkcio-kapcsolhato-kid-503-b-m-17333")</f>
        <v>0.0</v>
      </c>
      <c r="E2481" s="7" t="n">
        <f>HYPERLINK("https://www.somogyi.hu/data/img/product_main_images/small/17333.jpg","https://www.somogyi.hu/data/img/product_main_images/small/17333.jpg")</f>
        <v>0.0</v>
      </c>
      <c r="F2481" s="2" t="inlineStr">
        <is>
          <t>5999084953553</t>
        </is>
      </c>
      <c r="G2481" s="4" t="inlineStr">
        <is>
          <t>Szeretné otthonát ünnepi fényekkel feldobni? 
A KID 503 B/M csillag ablakdísz tökéletes választás az ablakdekoráció kedvelőinek, mely nem csak ragyogóan látványos, hanem rendkívül praktikus is. A tartozék 2 db tapadókoronggal könnyedén rögzíthető az ablakra vagy más sima felületre. 
Az ON/OFF/TIMER funkcióknak köszönhetően könnyedén beállítható a dísz világítása, így minden nap egyszerűen élvezheti a meghitt hangulatot. A TIMER funkció ismétlődő időzítésének köszönhetően a dísz 6 óra bekapcsolt állapot után automatikusan 18 órára kikapcsol. 
A fehér vezeték elegánsan nyílászárói környezetébe enteriőrbe. A tápellátás egyszerű, mindössze 3 db 1,5 V (AA) elemre van szükség, amelyek nem tartozékok. 
A dísz 35 db színes LED-del van ellátva, amelyek kellemes fényt árasztanak, és meghitt környezetet teremtenek. 
Rendelje meg most a KID 503 B/M terméket, és tegye különlegessé otthonát ezzel a csillag ablakdísszel!</t>
        </is>
      </c>
    </row>
    <row r="2482">
      <c r="A2482" s="3" t="inlineStr">
        <is>
          <t>KAL 01</t>
        </is>
      </c>
      <c r="B2482" s="2" t="inlineStr">
        <is>
          <t>Home KAL 01 gyertyapiramis, beltéri kivitel, 7 db melegfehér állófényű LED, 10 cm magas gyertyák, piros</t>
        </is>
      </c>
      <c r="C2482" s="1" t="n">
        <v>5490.0</v>
      </c>
      <c r="D2482" s="7" t="n">
        <f>HYPERLINK("https://www.somogyi.hu/product/home-kal-01-gyertyapiramis-belteri-kivitel-7-db-melegfeher-allofenyu-led-10-cm-magas-gyertyak-piros-kal-01-13385","https://www.somogyi.hu/product/home-kal-01-gyertyapiramis-belteri-kivitel-7-db-melegfeher-allofenyu-led-10-cm-magas-gyertyak-piros-kal-01-13385")</f>
        <v>0.0</v>
      </c>
      <c r="E2482" s="7" t="n">
        <f>HYPERLINK("https://www.somogyi.hu/data/img/product_main_images/small/13385.jpg","https://www.somogyi.hu/data/img/product_main_images/small/13385.jpg")</f>
        <v>0.0</v>
      </c>
      <c r="F2482" s="2" t="inlineStr">
        <is>
          <t>5999084914714</t>
        </is>
      </c>
      <c r="G2482" s="4" t="inlineStr">
        <is>
          <t>Szeretne egy egyszerű, mégis lenyűgöző dekorációt, amely az ünnepek alatt tökéletes hangulatot teremt? A Home KAL 01 gyertyapiramis ideális választás, ha meghitt, meleg fényekkel szeretné díszíteni otthona belső tereit.
Ez a beltéri kivitelű gyertyapiramis 7 darab melegfehér állófényű LED-del van felszerelve, amelyek élethű gyertyafényt biztosítanak anélkül, hogy a hagyományos gyertyák veszélyei miatt kellene aggódnia. Az anyagában színezett piros műanyag kialakítás elegáns és klasszikus megjelenést kölcsönöz a dekorációnak, miközben tökéletesen illik a karácsonyi hangulathoz. A 10 cm magas gyertyák kellemesen eloszlanak a piramis formában, így szemet gyönyörködtető látványt nyújtanak bármely polcon vagy asztalon. A gyertyapiramis tápellátása 2 darab 1,5 V-os AA elemmel történik (nem tartozék), így bárhol elhelyezheti anélkül, hogy konnektorhoz lenne kötve.
Tegye otthonát ünnepivé ezzel a klasszikus gyertyapiramissal – rendeljen most, és varázsoljon meghitt fényeket minden helyiségbe!</t>
        </is>
      </c>
    </row>
    <row r="2483">
      <c r="A2483" s="3" t="inlineStr">
        <is>
          <t>KID 502 B/WW</t>
        </is>
      </c>
      <c r="B2483" s="2" t="inlineStr">
        <is>
          <t>Home KID 502 B/WW fenyőfa ablakdísz, 35 db melegfehér LED, 3 funkció, kapcsolható</t>
        </is>
      </c>
      <c r="C2483" s="1" t="n">
        <v>2290.0</v>
      </c>
      <c r="D2483" s="7" t="n">
        <f>HYPERLINK("https://www.somogyi.hu/product/home-kid-502-b-ww-fenyofa-ablakdisz-35-db-melegfeher-led-3-funkcio-kapcsolhato-kid-502-b-ww-17037","https://www.somogyi.hu/product/home-kid-502-b-ww-fenyofa-ablakdisz-35-db-melegfeher-led-3-funkcio-kapcsolhato-kid-502-b-ww-17037")</f>
        <v>0.0</v>
      </c>
      <c r="E2483" s="7" t="n">
        <f>HYPERLINK("https://www.somogyi.hu/data/img/product_main_images/small/17037.jpg","https://www.somogyi.hu/data/img/product_main_images/small/17037.jpg")</f>
        <v>0.0</v>
      </c>
      <c r="F2483" s="2" t="inlineStr">
        <is>
          <t>5999084950699</t>
        </is>
      </c>
      <c r="G2483" s="4" t="inlineStr">
        <is>
          <t>Szeretné otthonát ünnepi fényekkel feldobni? 
A KID 502 B/WW fenyőfa ablakdísz tökéletes választás az ablakdekoráció kedvelőinek, mely nem csak ragyogóan látványos, hanem rendkívül praktikus is. A tartozék 2 db tapadókoronggal könnyedén rögzíthető az ablakra vagy más sima felületre. 
Az ON/OFF/TIMER funkcióknak köszönhetően könnyedén beállítható a dísz világítása, így minden nap egyszerűen élvezheti a meghitt hangulatot. A TIMER funkció ismétlődő időzítésének köszönhetően a dísz 6 óra bekapcsolt állapot után automatikusan 18 órára kikapcsol. 
A fehér vezeték elegánsan illeszkedik nyílászárói környezetébe. A tápellátás egyszerű, mindössze 3 db 1,5 V (AA) elemre van szükség, amelyek nem tartozékok. 
A dísz 35 db melegfehér LED-del van ellátva, amelyek kellemes fényt árasztanak, és meghitt környezetet teremtenek. 
Rendelje meg most a KID 502 B/WW terméket, és tegye különlegessé otthonát ezzel a fenyőfa ablakdísszel!</t>
        </is>
      </c>
    </row>
    <row r="2484">
      <c r="A2484" s="3" t="inlineStr">
        <is>
          <t>KID502WW</t>
        </is>
      </c>
      <c r="B2484" s="2" t="inlineStr">
        <is>
          <t>Home KID502WW fenyőfa ablakdísz, kül- és beltéri kivitel, 35 db melegfehér LED, 2 tapadókorong, fehér tápkábel, 33 x 28 cm</t>
        </is>
      </c>
      <c r="C2484" s="1" t="n">
        <v>3990.0</v>
      </c>
      <c r="D2484" s="7" t="n">
        <f>HYPERLINK("https://www.somogyi.hu/product/home-kid502ww-fenyofa-ablakdisz-kul-es-belteri-kivitel-35-db-melegfeher-led-2-tapadokorong-feher-tapkabel-33-x-28-cm-kid502ww-18595","https://www.somogyi.hu/product/home-kid502ww-fenyofa-ablakdisz-kul-es-belteri-kivitel-35-db-melegfeher-led-2-tapadokorong-feher-tapkabel-33-x-28-cm-kid502ww-18595")</f>
        <v>0.0</v>
      </c>
      <c r="E2484" s="7" t="n">
        <f>HYPERLINK("https://www.somogyi.hu/data/img/product_main_images/small/18595.jpg","https://www.somogyi.hu/data/img/product_main_images/small/18595.jpg")</f>
        <v>0.0</v>
      </c>
      <c r="F2484" s="2" t="inlineStr">
        <is>
          <t>5999084966133</t>
        </is>
      </c>
      <c r="G2484" s="4" t="inlineStr">
        <is>
          <t>Szeretné otthonát ünnepi hangulatba öltöztetni? A Home KID502WW fenyőfa ablakdísz tökéletes választás az ablakok díszítéséhez akár kültéren, akár beltéren!
Ez a dekoráció 35 db Ø5mm melegfehér LED-del van felszerelve, amelyek kellemes, ünnepi fényt árasztanak. A 1,5 méteres fehér tápkábel az alján helyezkedik el, így könnyen csatlakoztatható az áramforráshoz anélkül, hogy zavaró lenne. A termék mérete 33 x 28 cm, így ideális méretű, hogy bármelyik ablakban elhelyezze.
A csomag tartalmaz 2 tapadókorongot is, melyekkel egyszerűen rögzíthető az ablakra. A 230V-os tápellátás biztosítja a megbízható működést, így az ünnepek alatt folyamatosan élvezheti a dísz fényét. A termék színes fejkártyával csomagolt, így ajándéknak is kiváló.
Varázsolja otthonát ünnepi díszbe a Home KID502WW fenyőfa ablakdísszel, és tegye emlékezetessé az ünnepi szezont családja és barátai számára! Szerezze be most, és élvezze az ünnepi hangulatot minden nap!</t>
        </is>
      </c>
    </row>
    <row r="2485">
      <c r="A2485" s="3" t="inlineStr">
        <is>
          <t>KID 413</t>
        </is>
      </c>
      <c r="B2485" s="2" t="inlineStr">
        <is>
          <t>Home KID 413 angyal ablakdísz, 8 db LED, öntapadós elemtartó</t>
        </is>
      </c>
      <c r="C2485" s="1" t="n">
        <v>2590.0</v>
      </c>
      <c r="D2485" s="7" t="n">
        <f>HYPERLINK("https://www.somogyi.hu/product/home-kid-413-angyal-ablakdisz-8-db-led-ontapados-elemtarto-kid-413-12032","https://www.somogyi.hu/product/home-kid-413-angyal-ablakdisz-8-db-led-ontapados-elemtarto-kid-413-12032")</f>
        <v>0.0</v>
      </c>
      <c r="E2485" s="7" t="n">
        <f>HYPERLINK("https://www.somogyi.hu/data/img/product_main_images/small/12032.jpg","https://www.somogyi.hu/data/img/product_main_images/small/12032.jpg")</f>
        <v>0.0</v>
      </c>
      <c r="F2485" s="2" t="inlineStr">
        <is>
          <t>5999084902445</t>
        </is>
      </c>
      <c r="G2485" s="4" t="inlineStr">
        <is>
          <t>Szeretne egy angyal alakú dekorációt, ami melegséget visz otthonába? A KID 413 LED-es ablakdísz pont erre lett készítve!
A termék 8 db melegfehér LED-et tartalmaz. Az öntapadós elemtartónak köszönhetően könnyedén elhelyezhető bármilyen sík felületen, és a tápellátás 3 x 1,5 V (AAA) elemmel biztosított, amelyek nem tartoznak a csomaghoz.
Tegye otthonát különlegessé a KID 413 csillag formájú LED-es ablakdísszel és adjon egy kis plusz fényt a mindennapokhoz! Varázsoljon meleg, csillagfényes estéket az otthonában még ma!</t>
        </is>
      </c>
    </row>
    <row r="2486">
      <c r="A2486" s="3" t="inlineStr">
        <is>
          <t>KID 412</t>
        </is>
      </c>
      <c r="B2486" s="2" t="inlineStr">
        <is>
          <t>Home KID 412 karácsonyfa ablakdísz, 8 db LED, öntapadós elemtartó</t>
        </is>
      </c>
      <c r="C2486" s="1" t="n">
        <v>2590.0</v>
      </c>
      <c r="D2486" s="7" t="n">
        <f>HYPERLINK("https://www.somogyi.hu/product/home-kid-412-karacsonyfa-ablakdisz-8-db-led-ontapados-elemtarto-kid-412-12031","https://www.somogyi.hu/product/home-kid-412-karacsonyfa-ablakdisz-8-db-led-ontapados-elemtarto-kid-412-12031")</f>
        <v>0.0</v>
      </c>
      <c r="E2486" s="7" t="n">
        <f>HYPERLINK("https://www.somogyi.hu/data/img/product_main_images/small/12031.jpg","https://www.somogyi.hu/data/img/product_main_images/small/12031.jpg")</f>
        <v>0.0</v>
      </c>
      <c r="F2486" s="2" t="inlineStr">
        <is>
          <t>5999084902438</t>
        </is>
      </c>
      <c r="G2486" s="4" t="inlineStr">
        <is>
          <t>Szeretne egy karácsonyfa alakú dekorációt, ami melegséget visz otthonába? A KID 412 LED-es ablakdísz pont erre lett készítve!
A termék 8 db melegfehér LED-et tartalmaz. Az öntapadós elemtartónak köszönhetően könnyedén elhelyezhető bármilyen sík felületen, és a tápellátás 3 x 1,5 V (AAA) elemmel biztosított, amelyek nem tartoznak a csomaghoz.
Tegye otthonát különlegessé a KID 412 csillag formájú LED-es ablakdísszel és adjon egy kis plusz fényt a mindennapokhoz! Varázsoljon meleg, csillagfényes estéket az otthonában még ma!</t>
        </is>
      </c>
    </row>
    <row r="2487">
      <c r="A2487" s="3" t="inlineStr">
        <is>
          <t>KAL 02</t>
        </is>
      </c>
      <c r="B2487" s="2" t="inlineStr">
        <is>
          <t>Home KAL 02 gyertyapiramis, 7 db LED, piros műanyag, kapcsolható, 3 funkció</t>
        </is>
      </c>
      <c r="C2487" s="1" t="n">
        <v>5490.0</v>
      </c>
      <c r="D2487" s="7" t="n">
        <f>HYPERLINK("https://www.somogyi.hu/product/home-kal-02-gyertyapiramis-7-db-led-piros-muanyag-kapcsolhato-3-funkcio-kal-02-18131","https://www.somogyi.hu/product/home-kal-02-gyertyapiramis-7-db-led-piros-muanyag-kapcsolhato-3-funkcio-kal-02-18131")</f>
        <v>0.0</v>
      </c>
      <c r="E2487" s="7" t="n">
        <f>HYPERLINK("https://www.somogyi.hu/data/img/product_main_images/small/18131.jpg","https://www.somogyi.hu/data/img/product_main_images/small/18131.jpg")</f>
        <v>0.0</v>
      </c>
      <c r="F2487" s="2" t="inlineStr">
        <is>
          <t>5999084961534</t>
        </is>
      </c>
      <c r="G2487" s="4" t="inlineStr">
        <is>
          <t>Szeretne egy dekorációt, amely egyszerre klasszikus és praktikus, és meleg fényekkel tölti meg a szobát? A Home KAL 02 gyertyapiramis tökéletes választás, ha ünnepi hangulatot szeretne teremteni otthonában, és mindezt energiatakarékos megoldással.
Ez a beltéri kivitelű gyertyapiramis 7 darab melegfehér, állófényű LED-del van felszerelve, amelyek élethű gyertyafényt biztosítanak, bármilyen helyiségbe varázsolva a karácsonyi meghittség érzését. Az ON/OFF/TIMER funkciónak köszönhetően a piramis automatikusan 6 órán keresztül világít, majd 18 órára kikapcsol, így Önnek nem kell minden nap beállítani a fényeket – elég egyszer bekapcsolni, és a dísz magától működik. A piros, anyagában színezett műanyag gyertyatartók klasszikus megjelenést kölcsönöznek a dekorációnak, miközben a 10 cm magas gyertyák elegánsan illeszkednek a 41 x 27 cm méretű piramisba. A tápellátás 2 darab 1,5 V-os AA elemmel történik (nem tartozék), így könnyedén elhelyezhető bárhol anélkül, hogy konnektorra lenne szükség.
Tegye otthonát hangulatossá ezzel az időzítővel ellátott gyertyapiramissal – rendeljen most, és élvezze a meleg, ünnepi fényt minden nap!</t>
        </is>
      </c>
    </row>
    <row r="2488">
      <c r="A2488" s="3" t="inlineStr">
        <is>
          <t>KAD 02</t>
        </is>
      </c>
      <c r="B2488" s="2" t="inlineStr">
        <is>
          <t>Home KAD 02 gyertyapiramis, 7 db izzó, lakkozott fa, L7D</t>
        </is>
      </c>
      <c r="C2488" s="1" t="n">
        <v>9990.0</v>
      </c>
      <c r="D2488" s="7" t="n">
        <f>HYPERLINK("https://www.somogyi.hu/product/home-kad-02-gyertyapiramis-7-db-izzo-lakkozott-fa-l7d-kad-02-4932","https://www.somogyi.hu/product/home-kad-02-gyertyapiramis-7-db-izzo-lakkozott-fa-l7d-kad-02-4932")</f>
        <v>0.0</v>
      </c>
      <c r="E2488" s="7" t="n">
        <f>HYPERLINK("https://www.somogyi.hu/data/img/product_main_images/small/04932.jpg","https://www.somogyi.hu/data/img/product_main_images/small/04932.jpg")</f>
        <v>0.0</v>
      </c>
      <c r="F2488" s="2" t="inlineStr">
        <is>
          <t>5998312743553</t>
        </is>
      </c>
      <c r="G2488" s="4" t="inlineStr">
        <is>
          <t>Szeretne egy gyönyörű díszt, ami nem csak az ablakpárkányt díszíti, hanem az egész szobát meleg fénybe borítja? A KAD 02 gyertyaív ideális választás azok számára, akik az ünnepi hangulatot eleganciával párosítanák.
A 7 db melegfehér csavaros izzó garantálja a hangulatos világítást, melyet az 1,5 m hosszú fehér vezetéken lévő kapcsolóval könnyedén szabályozhat. 
Az esetleges izzócsere sem okoz problémát, hiszen a pótizzó típusa L 7D, mely könnyedén beszerezhető. 
A termék további különlegessége a lelakkozott fa ablakív, ami a hagyományos és modern elemek tökéletes ötvözeteként funkcionál. Tápellátása 230 V~.
Ne hagyja ki ezt a kivételes darabot – tegye az otthonát még hangulatosabbá a KAD 02 gyertyaívvel!</t>
        </is>
      </c>
    </row>
    <row r="2489">
      <c r="A2489" s="3" t="inlineStr">
        <is>
          <t>KID 503 B/WW</t>
        </is>
      </c>
      <c r="B2489" s="2" t="inlineStr">
        <is>
          <t>Home KID 503 B/WW csillag ablakdísz, 35 db melegfehér LED, 3 funkció, kapcsolható</t>
        </is>
      </c>
      <c r="C2489" s="1" t="n">
        <v>2290.0</v>
      </c>
      <c r="D2489" s="7" t="n">
        <f>HYPERLINK("https://www.somogyi.hu/product/home-kid-503-b-ww-csillag-ablakdisz-35-db-melegfeher-led-3-funkcio-kapcsolhato-kid-503-b-ww-17038","https://www.somogyi.hu/product/home-kid-503-b-ww-csillag-ablakdisz-35-db-melegfeher-led-3-funkcio-kapcsolhato-kid-503-b-ww-17038")</f>
        <v>0.0</v>
      </c>
      <c r="E2489" s="7" t="n">
        <f>HYPERLINK("https://www.somogyi.hu/data/img/product_main_images/small/17038.jpg","https://www.somogyi.hu/data/img/product_main_images/small/17038.jpg")</f>
        <v>0.0</v>
      </c>
      <c r="F2489" s="2" t="inlineStr">
        <is>
          <t>5999084950705</t>
        </is>
      </c>
      <c r="G2489" s="4" t="inlineStr">
        <is>
          <t>Szeretné otthonát ünnepi fényekkel feldobni? 
A KID 503 B/WW csillag ablakdísz tökéletes választás az ablakdekoráció kedvelőinek, mely nem csak ragyogóan látványos, hanem rendkívül praktikus is. A tartozék 2 db tapadókoronggal könnyedén rögzíthető az ablakra vagy más sima felületre. 
Az ON/OFF/TIMER funkcióknak köszönhetően könnyedén beállítható a dísz világítása, így minden nap egyszerűen élvezheti a meghitt hangulatot. A TIMER funkció ismétlődő időzítésének köszönhetően a dísz 6 óra bekapcsolt állapot után automatikusan 18 órára kikapcsol. 
A fehér vezeték elegánsan illeszkedik nyílászárói környezetébe. A tápellátás egyszerű, mindössze 3 db 1,5 V (AA) elemre van szükség, amelyek nem tartozékok. 
A dísz 35 db melegfehér LED-del van ellátva, amelyek kellemes fényt árasztanak, és meghitt környezetet teremtenek. 
Rendelje meg most a KID 503 B/WW terméket, és tegye különlegessé otthonát ezzel a csillag ablakdísszel!</t>
        </is>
      </c>
    </row>
    <row r="2490">
      <c r="A2490" s="3" t="inlineStr">
        <is>
          <t>KLW 40</t>
        </is>
      </c>
      <c r="B2490" s="2" t="inlineStr">
        <is>
          <t>Home KLW 40 fa világító kép, 6 db LED, lézervágott, kapcsolható</t>
        </is>
      </c>
      <c r="C2490" s="1" t="n">
        <v>5190.0</v>
      </c>
      <c r="D2490" s="7" t="n">
        <f>HYPERLINK("https://www.somogyi.hu/product/home-klw-40-fa-vilagito-kep-6-db-led-lezervagott-kapcsolhato-klw-40-16970","https://www.somogyi.hu/product/home-klw-40-fa-vilagito-kep-6-db-led-lezervagott-kapcsolhato-klw-40-16970")</f>
        <v>0.0</v>
      </c>
      <c r="E2490" s="7" t="n">
        <f>HYPERLINK("https://www.somogyi.hu/data/img/product_main_images/small/16970.jpg","https://www.somogyi.hu/data/img/product_main_images/small/16970.jpg")</f>
        <v>0.0</v>
      </c>
      <c r="F2490" s="2" t="inlineStr">
        <is>
          <t>5999084950026</t>
        </is>
      </c>
      <c r="G2490" s="4" t="inlineStr">
        <is>
          <t>Szeretné falát egyedi és látványos módon feldobni? A KLW 40 fa világító kép tökéletes választás! A kép lézerrel kivágott motívumokat tartalmaz, amelyeket 6 db melegfehér LED világít meg, így azonnal meghitt és kellemes atmoszférát teremt otthonában.
A bekapcsolást követően a beépített időzítő funkcióval (6 óra bekapcsolt, 18 óra kikapcsolt állapot) gond nélkül időzítheti a világítást, és nem kell aggódnia, hogy feleslegesen fogyaszt energiát. A tápellátásról 2 x 1,5 V (AAA) elem gondoskodik, amelyeket külön kell megvásárolnia, mivel azok nem tartozékai a terméknek.
Tegye otthonát még különlegesebbé a KLW 40 fa világító képpel! Rendelje meg most, és élvezze a melegfehér LED-ek által teremtett hangulatot!</t>
        </is>
      </c>
    </row>
    <row r="2491">
      <c r="A2491" s="3" t="inlineStr">
        <is>
          <t>KAD 01</t>
        </is>
      </c>
      <c r="B2491" s="2" t="inlineStr">
        <is>
          <t>Home KAD 01 gyertyapiramis, 7 db izzó, lakkozott fa, L7D</t>
        </is>
      </c>
      <c r="C2491" s="1" t="n">
        <v>6890.0</v>
      </c>
      <c r="D2491" s="7" t="n">
        <f>HYPERLINK("https://www.somogyi.hu/product/home-kad-01-gyertyapiramis-7-db-izzo-lakkozott-fa-l7d-kad-01-4931","https://www.somogyi.hu/product/home-kad-01-gyertyapiramis-7-db-izzo-lakkozott-fa-l7d-kad-01-4931")</f>
        <v>0.0</v>
      </c>
      <c r="E2491" s="7" t="n">
        <f>HYPERLINK("https://www.somogyi.hu/data/img/product_main_images/small/04931.jpg","https://www.somogyi.hu/data/img/product_main_images/small/04931.jpg")</f>
        <v>0.0</v>
      </c>
      <c r="F2491" s="2" t="inlineStr">
        <is>
          <t>5998312743546</t>
        </is>
      </c>
      <c r="G2491" s="4" t="inlineStr">
        <is>
          <t>Szeretne egy gyönyörű díszt, ami nem csak az ablakpárkányt díszíti, hanem az egész szobát meleg fénybe borítja? A KAD 01 gyertyapiramis ideális választás azok számára, akik az ünnepi hangulatot eleganciával párosítanák.
A 7 db melegfehér csavaros izzó garantálja a hangulatos világítást, melyet az 1,5 m hosszú fehér vezetéken lévő kapcsolóval könnyedén szabályozhat. 
Az esetleges izzócsere sem okoz problémát, hiszen a pótizzó típusa L 7D, mely könnyedén beszerezhető. 
A termék további különlegessége a lelakkozott fa ablakív, ami a hagyományos és modern elemek tökéletes ötvözeteként funkcionál. Tápellátása 230 V~.
Ne hagyja ki ezt a kivételes darabot – tegye az otthonát még hangulatosabbá a KAD 01 gyertyapiramissal!</t>
        </is>
      </c>
    </row>
    <row r="2492">
      <c r="A2492" s="3" t="inlineStr">
        <is>
          <t>KID 322</t>
        </is>
      </c>
      <c r="B2492" s="2" t="inlineStr">
        <is>
          <t>Home KID 322 LED-es ablakdísz, 1 db LED, öntapadós, hóember, színváltó</t>
        </is>
      </c>
      <c r="C2492" s="1" t="n">
        <v>949.0</v>
      </c>
      <c r="D2492" s="7" t="n">
        <f>HYPERLINK("https://www.somogyi.hu/product/home-kid-322-led-es-ablakdisz-1-db-led-ontapados-hoember-szinvalto-kid-322-11929","https://www.somogyi.hu/product/home-kid-322-led-es-ablakdisz-1-db-led-ontapados-hoember-szinvalto-kid-322-11929")</f>
        <v>0.0</v>
      </c>
      <c r="E2492" s="7" t="n">
        <f>HYPERLINK("https://www.somogyi.hu/data/img/product_main_images/small/11929.jpg","https://www.somogyi.hu/data/img/product_main_images/small/11929.jpg")</f>
        <v>0.0</v>
      </c>
      <c r="F2492" s="2" t="inlineStr">
        <is>
          <t>5999084901417</t>
        </is>
      </c>
      <c r="G2492" s="4" t="inlineStr">
        <is>
          <t>Szeretné, ha ablaka karácsonyi hangulatot árasztana? A KID 322 hóember formájú ablakdísz tökéletes választás, ami egész nap változatos fényekkel kápráztatja el Önt és vendégeit.
Öntapadójának köszönhetően könnyedén rögzítheti bármilyen sima felületen, a benne található színváltó LED pedig beragyogja környezetét. Ráadásul a tápellátást 2 x 3 V (CR2032) gombelem biztosítja, ami a csomag része, így ezt nem kell külön beszereznie.
Tegye ünnepivé otthonát a KID 322 ablakdísszel, és élvezze a változatos fényjátékot minden nap!</t>
        </is>
      </c>
    </row>
    <row r="2493">
      <c r="A2493" s="3" t="inlineStr">
        <is>
          <t>KID 323</t>
        </is>
      </c>
      <c r="B2493" s="2" t="inlineStr">
        <is>
          <t>Home KID 323 LED-es ablakdísz, 1 db LED, öntapadós, mikulás, színváltó</t>
        </is>
      </c>
      <c r="C2493" s="1" t="n">
        <v>949.0</v>
      </c>
      <c r="D2493" s="7" t="n">
        <f>HYPERLINK("https://www.somogyi.hu/product/home-kid-323-led-es-ablakdisz-1-db-led-ontapados-mikulas-szinvalto-kid-323-11930","https://www.somogyi.hu/product/home-kid-323-led-es-ablakdisz-1-db-led-ontapados-mikulas-szinvalto-kid-323-11930")</f>
        <v>0.0</v>
      </c>
      <c r="E2493" s="7" t="n">
        <f>HYPERLINK("https://www.somogyi.hu/data/img/product_main_images/small/11930.jpg","https://www.somogyi.hu/data/img/product_main_images/small/11930.jpg")</f>
        <v>0.0</v>
      </c>
      <c r="F2493" s="2" t="inlineStr">
        <is>
          <t>5999084901424</t>
        </is>
      </c>
      <c r="G2493" s="4" t="inlineStr">
        <is>
          <t>Szeretné, ha ablaka karácsonyi hangulatot árasztana? A KID 323 mikulás formájú ablakdísz tökéletes választás, ami egész nap változatos fényekkel kápráztatja el Önt és vendégeit.
Öntapadójának köszönhetően könnyedén rögzítheti bármilyen sima felületen, a benne található színváltó LED pedig beragyogja környezetét. Ráadásul a tápellátást 2 x 3 V (CR2032) gombelem biztosítja, ami a csomag része, így ezt nem kell külön beszereznie.
Tegye ünnepivé otthonát a KID 323 ablakdísszel, és élvezze a változatos fényjátékot minden nap!</t>
        </is>
      </c>
    </row>
    <row r="2494">
      <c r="A2494" s="3" t="inlineStr">
        <is>
          <t>KID 324</t>
        </is>
      </c>
      <c r="B2494" s="2" t="inlineStr">
        <is>
          <t>Home KID 324 LED-es ablakdísz, hóember, beltéri kivitel, 1db színváltó LED</t>
        </is>
      </c>
      <c r="C2494" s="1" t="n">
        <v>949.0</v>
      </c>
      <c r="D2494" s="7" t="n">
        <f>HYPERLINK("https://www.somogyi.hu/product/home-kid-324-led-es-ablakdisz-hoember-belteri-kivitel-1db-szinvalto-led-kid-324-11931","https://www.somogyi.hu/product/home-kid-324-led-es-ablakdisz-hoember-belteri-kivitel-1db-szinvalto-led-kid-324-11931")</f>
        <v>0.0</v>
      </c>
      <c r="E2494" s="7" t="n">
        <f>HYPERLINK("https://www.somogyi.hu/data/img/product_main_images/small/11931.jpg","https://www.somogyi.hu/data/img/product_main_images/small/11931.jpg")</f>
        <v>0.0</v>
      </c>
      <c r="F2494" s="2" t="inlineStr">
        <is>
          <t>5999084901431</t>
        </is>
      </c>
      <c r="G2494" s="4" t="inlineStr">
        <is>
          <t>Hogyan teremthet varázslatos ünnepi hangulatot egyszerűen, de látványosan otthonában?
A Home KID 324 LED-es ablakdísz hóember formájú dekorációja tökéletes választás, ha szeretné feldobni otthona ünnepi hangulatát. Az 1 db színváltó LED különleges fényhatást biztosít, amely gyönyörűen ragyog az ablakon, miközben az öntapadós kialakítás lehetővé teszi a gyors és egyszerű rögzítést. Ideális beltéri használatra, és kifejezetten energiatakarékos, hiszen a működéshez szükséges elemeket a csomag tartalmazza.
Látványos színváltó LED technológia
Az ablakdísz szívében található színváltó LED fokozatosan változtatja a színeit, így különleges vizuális élményt nyújt, amely azonnal megragadja a figyelmet. Ez a fényhatás kellemes és ünnepi légkört teremt, ideálissá téve a dekorációt karácsonyra, adventi időszakra vagy bármilyen téli alkalomra.
Öntapadós és könnyen rögzíthető kialakítás
A Home KID 324 ablakdísz praktikus öntapadós hátlappal rendelkezik, amely lehetővé teszi, hogy gyorsan és egyszerűen rögzítse az ablakra vagy bármely sima felületre. Nincs szükség külön eszközökre vagy bonyolult szerelésre – csak helyezze fel, és élvezze a dekoráció különleges fényjátékát.
Elemes működés a vezeték nélküli kényelemért
A dekoráció 2 db CR2032 elemmel működik, amelyeket a csomag tartalmaz, így azonnal használatra kész. Az elemes tápellátásnak köszönhetően teljesen vezeték nélküli, így bárhol elhelyezhető, anélkül hogy konnektorra lenne szükség. Ez nemcsak kényelmes megoldást jelent, hanem biztonságosabbá is teszi a használatot.
Kompakt méret és modern design
A hóember formájú LED-es ablakdísz kompakt méretével bármely ablakon vagy üvegfelületen elfér anélkül, hogy túlzott helyet foglalna. Az egyszerű, mégis elegáns design harmonikusan illeszkedik a modern és a klasszikus ünnepi dekorációkhoz egyaránt.
Miért érdemes a Home KID 324 LED-es ablakdíszt választani?
– Színváltó LED, amely varázslatos fényhatást biztosít 
– Öntapadós rögzítés, amely gyors és egyszerű felhelyezést tesz lehetővé 
– Elemes működés, vezeték nélküli használatra tervezve 
– Tartozék elemek, amelyek azonnali használatot garantálnak 
– Kompakt méret, amely tökéletesen illeszkedik bármilyen ablakhoz vagy sima felülethez
Dobja fel otthona ünnepi hangulatát a Home KID 324 LED-es hóember ablakdísszel, és élvezze a különleges, színváltó fényjátékot minden nap! Ideális választás mindazok számára, akik egyszerűen szeretnének látványos dekorációt teremteni otthonukban.</t>
        </is>
      </c>
    </row>
    <row r="2495">
      <c r="A2495" s="3" t="inlineStr">
        <is>
          <t>KID 331/WH</t>
        </is>
      </c>
      <c r="B2495" s="2" t="inlineStr">
        <is>
          <t>Home KID 331/WH LED-es hópehely ablakdísz, beltéri kivitel, öntapadós, hidegfehér LED</t>
        </is>
      </c>
      <c r="C2495" s="1" t="n">
        <v>839.0</v>
      </c>
      <c r="D2495" s="7" t="n">
        <f>HYPERLINK("https://www.somogyi.hu/product/home-kid-331-wh-led-es-hopehely-ablakdisz-belteri-kivitel-ontapados-hidegfeher-led-kid-331-wh-14726","https://www.somogyi.hu/product/home-kid-331-wh-led-es-hopehely-ablakdisz-belteri-kivitel-ontapados-hidegfeher-led-kid-331-wh-14726")</f>
        <v>0.0</v>
      </c>
      <c r="E2495" s="7" t="n">
        <f>HYPERLINK("https://www.somogyi.hu/data/img/product_main_images/small/14726.jpg","https://www.somogyi.hu/data/img/product_main_images/small/14726.jpg")</f>
        <v>0.0</v>
      </c>
      <c r="F2495" s="2" t="inlineStr">
        <is>
          <t>5999084927684</t>
        </is>
      </c>
      <c r="G2495" s="4" t="inlineStr">
        <is>
          <t>Szeretné, ha ablakai elegáns és tiszta fényben tündökölnének az ünnepi időszak alatt? A Home KID 331/WH LED-es hópehely ablakdísz tökéletes megoldás, ha letisztult, mégis figyelemfelkeltő dekorációra vágyik. 
A hidegfehér LED kellemes, ünnepi hangulatot teremt, miközben stílusosan világítja meg az ablakot vagy bármilyen más sima felületet. Az öntapadós kialakításnak köszönhetően könnyen felhelyezhető, és stabilan rögzíthető az ablaküvegen, anélkül hogy kábelekre lenne szükség. A dekoráció 2 darab CR2032 elemmel működik (tartozék), így azonnal használatra kész, és bárhol elhelyezhető a lakásban. Kompakt méretével (Ø 10 x 3,5 cm) remekül illik kisebb ablakokba is, de akár ajtókra, tükrökre is elhelyezhető, hogy még varázslatosabbá tegye az ünnepi fényeket otthonában.
Hozza el otthonába a modern karácsonyi fények eleganciáját ezzel az öntapadós LED-es ablakdísszel, és varázsoljon különleges hangulatot minden sarokba!</t>
        </is>
      </c>
    </row>
    <row r="2496">
      <c r="A2496" s="3" t="inlineStr">
        <is>
          <t>KID503WW</t>
        </is>
      </c>
      <c r="B2496" s="2" t="inlineStr">
        <is>
          <t>Home KID503WW csillag ablakdísz, kül- és beltéri kivitel, 35 db melegfehér LED, 2 tapadókorong, fehér tápkábel, 33 x 28 cm</t>
        </is>
      </c>
      <c r="C2496" s="1" t="n">
        <v>3990.0</v>
      </c>
      <c r="D2496" s="7" t="n">
        <f>HYPERLINK("https://www.somogyi.hu/product/home-kid503ww-csillag-ablakdisz-kul-es-belteri-kivitel-35-db-melegfeher-led-2-tapadokorong-feher-tapkabel-33-x-28-cm-kid503ww-18604","https://www.somogyi.hu/product/home-kid503ww-csillag-ablakdisz-kul-es-belteri-kivitel-35-db-melegfeher-led-2-tapadokorong-feher-tapkabel-33-x-28-cm-kid503ww-18604")</f>
        <v>0.0</v>
      </c>
      <c r="E2496" s="7" t="n">
        <f>HYPERLINK("https://www.somogyi.hu/data/img/product_main_images/small/18604.jpg","https://www.somogyi.hu/data/img/product_main_images/small/18604.jpg")</f>
        <v>0.0</v>
      </c>
      <c r="F2496" s="2" t="inlineStr">
        <is>
          <t>5999084966225</t>
        </is>
      </c>
      <c r="G2496" s="4" t="inlineStr">
        <is>
          <t>Szeretné otthonát ünnepi hangulatba öltöztetni? A Home KID503WW csillag ablakdísz tökéletes választás az ablakok díszítéséhez kültéren és beltérben egyaránt!
Ez a dekoráció 35 db Ø5mm melegfehér LED-del van felszerelve, amelyek hangulatos, ünnepi fényt árasztanak. A 1,5 méteres fehér tápkábel az alján helyezkedik el, így könnyen csatlakoztatható az áramforráshoz anélkül, hogy zavaró lenne. A termék mérete 33 x 28 cm, így ideális méretű, hogy bármelyik ablakban elhelyezze.
A csomag tartalmaz 2 tapadókorongot is, melyekkel egyszerűen rögzíthető az ablakra. A 230V-os tápellátás biztosítja a megbízható működést, így az ünnepek alatt folyamatosan élvezheti a dísz fényét. A termék színes fejkártyával csomagolt, így ajándéknak is kiváló.
Varázsolja otthonát ünnepi díszbe a Home KID503WW csillag ablakdísszel, és tegye emlékezetessé az ünnepi szezont családja és barátai számára! Szerezze be most, és élvezze az ünnepi hangulatot minden nap!</t>
        </is>
      </c>
    </row>
    <row r="2497">
      <c r="A2497" s="3" t="inlineStr">
        <is>
          <t>KID 701</t>
        </is>
      </c>
      <c r="B2497" s="2" t="inlineStr">
        <is>
          <t>Home KID 701 hókristály ablakdísz, 16 db LED, akril, hidegfehér</t>
        </is>
      </c>
      <c r="C2497" s="1" t="n">
        <v>3990.0</v>
      </c>
      <c r="D2497" s="7" t="n">
        <f>HYPERLINK("https://www.somogyi.hu/product/home-kid-701-hokristaly-ablakdisz-16-db-led-akril-hidegfeher-kid-701-11910","https://www.somogyi.hu/product/home-kid-701-hokristaly-ablakdisz-16-db-led-akril-hidegfeher-kid-701-11910")</f>
        <v>0.0</v>
      </c>
      <c r="E2497" s="7" t="n">
        <f>HYPERLINK("https://www.somogyi.hu/data/img/product_main_images/small/11910.jpg","https://www.somogyi.hu/data/img/product_main_images/small/11910.jpg")</f>
        <v>0.0</v>
      </c>
      <c r="F2497" s="2" t="inlineStr">
        <is>
          <t>5999084901226</t>
        </is>
      </c>
      <c r="G2497" s="4" t="inlineStr">
        <is>
          <t>Egy tökéletes téli ablakdíszt keres? A KID 701 LED-es hókristály ablakdísz pontosan ilyen. 
Ez az ablakdísz akril anyagból készült, melyet 16 db hidegfehér LED világít meg. Az átlátszó vezetékkel könnyedén elhelyezhető bármely ablakon.
A tápellátáshoz 3 db 1,5 V (AA) elemre van szükség, amelyek nem tartozékai a terméknek. 
Válassza a KID 701 LED-es hókristályt és hozza el a téli hangulatot otthonába!</t>
        </is>
      </c>
    </row>
    <row r="2498">
      <c r="A2498" s="3" t="inlineStr">
        <is>
          <t>KAD 07</t>
        </is>
      </c>
      <c r="B2498" s="2" t="inlineStr">
        <is>
          <t>Home KAD 07 gyertyapiramis, 7 db izzó, lakkozott fa, L2040C/E10</t>
        </is>
      </c>
      <c r="C2498" s="1" t="n">
        <v>10390.0</v>
      </c>
      <c r="D2498" s="7" t="n">
        <f>HYPERLINK("https://www.somogyi.hu/product/home-kad-07-gyertyapiramis-7-db-izzo-lakkozott-fa-l2040c-e10-kad-07-8973","https://www.somogyi.hu/product/home-kad-07-gyertyapiramis-7-db-izzo-lakkozott-fa-l2040c-e10-kad-07-8973")</f>
        <v>0.0</v>
      </c>
      <c r="E2498" s="7" t="n">
        <f>HYPERLINK("https://www.somogyi.hu/data/img/product_main_images/small/08973.jpg","https://www.somogyi.hu/data/img/product_main_images/small/08973.jpg")</f>
        <v>0.0</v>
      </c>
      <c r="F2498" s="2" t="inlineStr">
        <is>
          <t>5998312778531</t>
        </is>
      </c>
      <c r="G2498" s="4" t="inlineStr">
        <is>
          <t>Varázsolja otthonát egy igazi karácsonyi mesevilággá a KAD 07 gyertyapiramis segítségével!
A 7 db piros gyertyaláng alakú izzó által keltett kellemes, meghitt fény mellett a 1,5 m hosszú fehér vezeték garantálja a felhasználói kényelmet és a dísz könnyű elhelyezhetőségét bárhol a lakásban. 
Az eszköz 230 V~ tápellátással működik, így nem kell elemekkel bajlódnia. Ha bármikor cserére szorulna egy-egy izzó, a megfelelő pótizzó típusa L 2040C/E10, mely gyorsan beszerezhető. 
Mindezt a természetes szépségű, lelakkozott fa ablakív koronázza meg, mely elegáns és időtálló kiegészítőjévé válik otthonának.
Válassza a KAD 07 gyertyapiramist, hogy otthona ünnepi fényekben ragyoghasson!</t>
        </is>
      </c>
    </row>
    <row r="2499">
      <c r="A2499" s="3" t="inlineStr">
        <is>
          <t>KID 115</t>
        </is>
      </c>
      <c r="B2499" s="2" t="inlineStr">
        <is>
          <t>Home KID 115 csillag ablakdísz, 115 db microLED, kapcsoló, fém váz</t>
        </is>
      </c>
      <c r="C2499" s="1" t="n">
        <v>3690.0</v>
      </c>
      <c r="D2499" s="7" t="n">
        <f>HYPERLINK("https://www.somogyi.hu/product/home-kid-115-csillag-ablakdisz-115-db-microled-kapcsolo-fem-vaz-kid-115-18134","https://www.somogyi.hu/product/home-kid-115-csillag-ablakdisz-115-db-microled-kapcsolo-fem-vaz-kid-115-18134")</f>
        <v>0.0</v>
      </c>
      <c r="E2499" s="7" t="n">
        <f>HYPERLINK("https://www.somogyi.hu/data/img/product_main_images/small/18134.jpg","https://www.somogyi.hu/data/img/product_main_images/small/18134.jpg")</f>
        <v>0.0</v>
      </c>
      <c r="F2499" s="2" t="inlineStr">
        <is>
          <t>5999084961565</t>
        </is>
      </c>
      <c r="G2499" s="4" t="inlineStr">
        <is>
          <t>Milyen lenne egy ragyogó csillag az ablakában, amely megidézi az ünnep varázsát? A KID 115 LED-es csillag ablakdísz pont ezt kínálja Önnek. Mi teszi ezt a LED-es csillag ablakdíszt különlegessé? 
A KID 115 az erős fém vázával hosszú élettartamot biztosít, miközben a 115 db melegfehér micro LED ragyogásával kápráztatja el látogatóit. 
Az átlátszó vezeték észrevétlenül simul az ablakhoz, így csak a csillag fénye lesz az, ami kiemelkedik. 
Az elemtartón található be/ki kapcsolóval könnyedén irányíthatja a dísz világítását, így akkor élvezheti annak csillogását, amikor csak szeretné. 
A tápellátás egyszerű: csak 3 db 1,5 V (AA) elemre van szükség, amelyek nem tartozékok, így a vásárláskor érdemes beszerezni őket. 
Ne hagyja ki ezt a különleges lehetőséget! Adjon otthonának egy csipetnyi ragyogást a KID 115 LED-es csillag ablakdísszel!</t>
        </is>
      </c>
    </row>
    <row r="2500">
      <c r="A2500" s="3" t="inlineStr">
        <is>
          <t>KID 415</t>
        </is>
      </c>
      <c r="B2500" s="2" t="inlineStr">
        <is>
          <t>Home KID 415 harang ablakdísz, 8 db LED, öntapadós elemtartó</t>
        </is>
      </c>
      <c r="C2500" s="1" t="n">
        <v>2590.0</v>
      </c>
      <c r="D2500" s="7" t="n">
        <f>HYPERLINK("https://www.somogyi.hu/product/home-kid-415-harang-ablakdisz-8-db-led-ontapados-elemtarto-kid-415-12034","https://www.somogyi.hu/product/home-kid-415-harang-ablakdisz-8-db-led-ontapados-elemtarto-kid-415-12034")</f>
        <v>0.0</v>
      </c>
      <c r="E2500" s="7" t="n">
        <f>HYPERLINK("https://www.somogyi.hu/data/img/product_main_images/small/12034.jpg","https://www.somogyi.hu/data/img/product_main_images/small/12034.jpg")</f>
        <v>0.0</v>
      </c>
      <c r="F2500" s="2" t="inlineStr">
        <is>
          <t>5999084902469</t>
        </is>
      </c>
      <c r="G2500" s="4" t="inlineStr">
        <is>
          <t>Szeretne egy angyal alakú dekorációt, ami melegséget visz otthonába? A KID 415 LED-es ablakdísz pont erre lett készítve!
A termék 8 db melegfehér LED-et tartalmaz. Az öntapadós elemtartónak köszönhetően könnyedén elhelyezhető bármilyen sík felületen, és a tápellátás 3 x 1,5 V (AAA) elemmel biztosított, amelyek nem tartoznak a csomaghoz.
Tegye otthonát különlegessé a KID 415 csillag formájú LED-es ablakdísszel és adjon egy kis plusz fényt a mindennapokhoz! Varázsoljon meleg, csillagfényes estéket az otthonában még ma!</t>
        </is>
      </c>
    </row>
    <row r="2501">
      <c r="A2501" s="3" t="inlineStr">
        <is>
          <t>KID 331</t>
        </is>
      </c>
      <c r="B2501" s="2" t="inlineStr">
        <is>
          <t>Home KID 331 LED-es ablakdísz, öntapadós, színváltó LED</t>
        </is>
      </c>
      <c r="C2501" s="1" t="n">
        <v>839.0</v>
      </c>
      <c r="D2501" s="7" t="n">
        <f>HYPERLINK("https://www.somogyi.hu/product/home-kid-331-led-es-ablakdisz-ontapados-szinvalto-led-kid-331-13992","https://www.somogyi.hu/product/home-kid-331-led-es-ablakdisz-ontapados-szinvalto-led-kid-331-13992")</f>
        <v>0.0</v>
      </c>
      <c r="E2501" s="7" t="n">
        <f>HYPERLINK("https://www.somogyi.hu/data/img/product_main_images/small/13992.jpg","https://www.somogyi.hu/data/img/product_main_images/small/13992.jpg")</f>
        <v>0.0</v>
      </c>
      <c r="F2501" s="2" t="inlineStr">
        <is>
          <t>5999084920449</t>
        </is>
      </c>
      <c r="G2501" s="4" t="inlineStr">
        <is>
          <t>Kíváncsi, hogyan varázsolhatja ablakát ünnepivé egy mozdulattal? A KID 331 LED-es ablakdísz a válasz! Ez az öntapadós hópehely pillanatok alatt felszerelhető, és azonnal feldobja otthona hangulatát.
A csomag tartalmaz 2 x 3 V (CR2032) gombelemet, tehát nem kell külön gondoskodnia a tápellátásról. A legjobb az egészben, hogy a dísz színváltó LED-del van ellátva, mely izgalmas fényjátékkal szolgál.
Ne hagyja ki a lehetőséget, hogy ablakát csodálatos, új fényekben lássa! Rendelje meg most a KID 331 LED-es ablakdíszt, és varázsolja el otthonát!</t>
        </is>
      </c>
    </row>
    <row r="2502">
      <c r="A2502" s="3" t="inlineStr">
        <is>
          <t>KID 411</t>
        </is>
      </c>
      <c r="B2502" s="2" t="inlineStr">
        <is>
          <t>Home KID 411 csillag ablakdísz, 8 db LED, öntapadós elemtartó</t>
        </is>
      </c>
      <c r="C2502" s="1" t="n">
        <v>2590.0</v>
      </c>
      <c r="D2502" s="7" t="n">
        <f>HYPERLINK("https://www.somogyi.hu/product/home-kid-411-csillag-ablakdisz-8-db-led-ontapados-elemtarto-kid-411-12030","https://www.somogyi.hu/product/home-kid-411-csillag-ablakdisz-8-db-led-ontapados-elemtarto-kid-411-12030")</f>
        <v>0.0</v>
      </c>
      <c r="E2502" s="7" t="n">
        <f>HYPERLINK("https://www.somogyi.hu/data/img/product_main_images/small/12030.jpg","https://www.somogyi.hu/data/img/product_main_images/small/12030.jpg")</f>
        <v>0.0</v>
      </c>
      <c r="F2502" s="2" t="inlineStr">
        <is>
          <t>5999084902421</t>
        </is>
      </c>
      <c r="G2502" s="4" t="inlineStr">
        <is>
          <t>Képzelje el, hogy egy gyönyörű, melegfehér fényű csillag világítja meg az ablakát az ünnepi időszakban! A Home KID 411 csillag ablakdísz tökéletes választás, ha egy letisztult és mégis figyelemfelkeltő dekorációval szeretné feldobni otthonát. 
A 8 db melegfehér LED lágy fénye kellemes hangulatot teremt, miközben a 19 cm-es méretével és átlátszó vezetékével diszkréten illeszkedik bármelyik ablakra. Az öntapadós elemtartó egyszerű és praktikus megoldást nyújt, így a dísz könnyedén rögzíthető, a 20 cm-es vezeték pedig elegendő szabadságot biztosít a dekoráció elhelyezéséhez. A csillag 3 db 1,5 V-os AAA elemmel működik (nem tartozék), így kábelek nélkül biztosítja a hangulatos világítást.
Tegye különlegessé az ünnepi dekorációt ezzel a meleg fényű csillaggal, és hozza el az ünnepi varázslatot ablakaihoz!</t>
        </is>
      </c>
    </row>
    <row r="2503">
      <c r="A2503" s="3" t="inlineStr">
        <is>
          <t>KDC 33</t>
        </is>
      </c>
      <c r="B2503" s="2" t="inlineStr">
        <is>
          <t>Home KDC 33 LED-es kerámia havas házikó figura, 12 db LED, 42 x 20 x 33 cm</t>
        </is>
      </c>
      <c r="C2503" s="1" t="n">
        <v>17590.0</v>
      </c>
      <c r="D2503" s="7" t="n">
        <f>HYPERLINK("https://www.somogyi.hu/product/home-kdc-33-led-es-keramia-havas-haziko-figura-12-db-led-42-x-20-x-33-cm-kdc-33-16564","https://www.somogyi.hu/product/home-kdc-33-led-es-keramia-havas-haziko-figura-12-db-led-42-x-20-x-33-cm-kdc-33-16564")</f>
        <v>0.0</v>
      </c>
      <c r="E2503" s="7" t="n">
        <f>HYPERLINK("https://www.somogyi.hu/data/img/product_main_images/small/16564.jpg","https://www.somogyi.hu/data/img/product_main_images/small/16564.jpg")</f>
        <v>0.0</v>
      </c>
      <c r="F2503" s="2" t="inlineStr">
        <is>
          <t>5999084945961</t>
        </is>
      </c>
      <c r="G2503" s="4" t="inlineStr">
        <is>
          <t>Szeretné, ha egy mesebeli hangulatú havas házikó meleg fénye díszítené a lakását az ünnepi időszakban? A Home KDC 33 LED-es kerámia figura nemcsak látványos, de meghitt atmoszférát teremt bármelyik helyiségben. 
A 12 darab melegfehér LED finom fénye úgy világítja meg a házikót, hogy az még élethűbbé és varázslatosabbá válik. Az aprólékos kidolgozású kerámia felület hóval borított, ami tökéletes téli hatást kelt. A beltéri használatra tervezett dekoráció tápellátása három darab 1,5 V-os AAA elemmel működik (nem tartozék), így bárhol elhelyezhető anélkül, hogy zavarnák a kábelek. Kompakt méretei (42 x 20 x 33 cm) révén ideális választás polcra, asztalra vagy a nappali bármelyik pontjára, ahol finoman megvilágítja a környezetet, ünnepi hangulatot teremtve.
Ne hagyja ki ezt a különleges dekorációt – hozza el otthonába a téli csodavilágot ezzel a bájos havas házikó figurával!</t>
        </is>
      </c>
    </row>
    <row r="2504">
      <c r="A2504" s="3" t="inlineStr">
        <is>
          <t>KLW 21 R</t>
        </is>
      </c>
      <c r="B2504" s="2" t="inlineStr">
        <is>
          <t>Home KLW 21 R ajtódísz, ablakdísz, fa, rénszarvas forma, 4 db LED, lézervágott, kapcsolható</t>
        </is>
      </c>
      <c r="C2504" s="1" t="n">
        <v>3790.0</v>
      </c>
      <c r="D2504" s="7" t="n">
        <f>HYPERLINK("https://www.somogyi.hu/product/home-klw-21-r-ajtodisz-ablakdisz-fa-renszarvas-forma-4-db-led-lezervagott-kapcsolhato-klw-21-r-16972","https://www.somogyi.hu/product/home-klw-21-r-ajtodisz-ablakdisz-fa-renszarvas-forma-4-db-led-lezervagott-kapcsolhato-klw-21-r-16972")</f>
        <v>0.0</v>
      </c>
      <c r="E2504" s="7" t="n">
        <f>HYPERLINK("https://www.somogyi.hu/data/img/product_main_images/small/16972.jpg","https://www.somogyi.hu/data/img/product_main_images/small/16972.jpg")</f>
        <v>0.0</v>
      </c>
      <c r="F2504" s="2" t="inlineStr">
        <is>
          <t>5999084950040</t>
        </is>
      </c>
      <c r="G2504" s="4" t="inlineStr">
        <is>
          <t>Szeretné, ha otthona mindig tökéletesen megvilágított lenne? A KLW 21 R a megoldás! Lézerrel kivágott motívumai és 4 db melegfehér LED-je azonnal melegséget hoznak otthonába.
A termék bekapcsolását követően ismétlődő időzítés funkciókkal rendelkezik (6 óra bekapcsolva, 18 óra kikapcsolva), így nem kell aggódnia a fények kikapcsolása miatt. A tápellátáshoz 2 x 1,5 V (AAA) elem szükséges, amely nem tartozék.
Tegye otthonát még kellemesebbé a KLW 21 R-rel! Ne feledje beszerezni a szükséges AAA elemeket is.</t>
        </is>
      </c>
    </row>
    <row r="2505">
      <c r="A2505" s="3" t="inlineStr">
        <is>
          <t>KID 321</t>
        </is>
      </c>
      <c r="B2505" s="2" t="inlineStr">
        <is>
          <t>Home KID 321 LED-es szarvas ablakdísz, beltéri kivitel, 1 db színváltó LED, tapadókorongos, elemes kivitel</t>
        </is>
      </c>
      <c r="C2505" s="1" t="n">
        <v>949.0</v>
      </c>
      <c r="D2505" s="7" t="n">
        <f>HYPERLINK("https://www.somogyi.hu/product/home-kid-321-led-es-szarvas-ablakdisz-belteri-kivitel-1-db-szinvalto-led-tapadokorongos-elemes-kivitel-kid-321-11928","https://www.somogyi.hu/product/home-kid-321-led-es-szarvas-ablakdisz-belteri-kivitel-1-db-szinvalto-led-tapadokorongos-elemes-kivitel-kid-321-11928")</f>
        <v>0.0</v>
      </c>
      <c r="E2505" s="7" t="n">
        <f>HYPERLINK("https://www.somogyi.hu/data/img/product_main_images/small/11928.jpg","https://www.somogyi.hu/data/img/product_main_images/small/11928.jpg")</f>
        <v>0.0</v>
      </c>
      <c r="F2505" s="2" t="inlineStr">
        <is>
          <t>5999084901400</t>
        </is>
      </c>
      <c r="G2505" s="4" t="inlineStr">
        <is>
          <t>Szeretne egy igazán különleges és figyelemfelkeltő karácsonyi díszt az ablakába? A Home KID 321 LED-es szarvas ablakdísz tökéletes választás! 
Ez az aranyos, színváltó LED-del ellátott szarvas vidám és varázslatos hangulatot hoz bármely beltéri dekorációba. A színek folyamatos változása garantálja, hogy ez a dísz ne maradjon észrevétlen, és az ünnepi fények egyik kedvenc eleme legyen. A dísz tapadókoronggal könnyedén rögzíthető bármely sima felületen, legyen szó ablakról vagy tükörről. Tápellátását 2 db CR2032 elem biztosítja (tartozék), így azonnal használatra kész, vezeték nélküli megoldást nyújtva. Kompakt méretével (10 x 7 cm) tökéletes választás kisebb ablakokba is, ahol még több vidámságot csempész az ünnepi dekorációba.
Díszítse ablakait ezzel a színváltó LED-es szarvassal, és tegye még varázslatosabbá az ünnepi hangulatot otthonában!</t>
        </is>
      </c>
    </row>
    <row r="2506">
      <c r="A2506" s="3" t="inlineStr">
        <is>
          <t>KLW 21 S</t>
        </is>
      </c>
      <c r="B2506" s="2" t="inlineStr">
        <is>
          <t>Home KLW 21 S ajtódísz, ablakdísz, fa, hóember forma, 4 db LED, lézervágott, kapcsolható</t>
        </is>
      </c>
      <c r="C2506" s="1" t="n">
        <v>3790.0</v>
      </c>
      <c r="D2506" s="7" t="n">
        <f>HYPERLINK("https://www.somogyi.hu/product/home-klw-21-s-ajtodisz-ablakdisz-fa-hoember-forma-4-db-led-lezervagott-kapcsolhato-klw-21-s-16983","https://www.somogyi.hu/product/home-klw-21-s-ajtodisz-ablakdisz-fa-hoember-forma-4-db-led-lezervagott-kapcsolhato-klw-21-s-16983")</f>
        <v>0.0</v>
      </c>
      <c r="E2506" s="7" t="n">
        <f>HYPERLINK("https://www.somogyi.hu/data/img/product_main_images/small/16983.jpg","https://www.somogyi.hu/data/img/product_main_images/small/16983.jpg")</f>
        <v>0.0</v>
      </c>
      <c r="F2506" s="2" t="inlineStr">
        <is>
          <t>5999084950156</t>
        </is>
      </c>
      <c r="G2506" s="4" t="inlineStr">
        <is>
          <t>Szeretné, ha otthona mindig tökéletesen megvilágított lenne? A KLW 21 R a megoldás! Lézerrel kivágott motívumai és 4 db melegfehér LED-je azonnal melegséget hoznak otthonába.
A termék bekapcsolását követően ismétlődő időzítés funkciókkal rendelkezik (6 óra bekapcsolva, 18 óra kikapcsolva), így nem kell aggódnia a fények kikapcsolása miatt. A tápellátáshoz 2 x 1,5 V (AAA) elem szükséges, amely nem tartozék.
Tegye otthonát még kellemesebbé a KLW 21 R-rel! Ne feledje beszerezni a szükséges AAA elemeket is.</t>
        </is>
      </c>
    </row>
    <row r="2507">
      <c r="A2507" s="3" t="inlineStr">
        <is>
          <t>KID 314</t>
        </is>
      </c>
      <c r="B2507" s="2" t="inlineStr">
        <is>
          <t>Home KID 314 karácsonyfa ablakdísz, 10 db LED, öntapadó elemtartó, 16 x 20 cm</t>
        </is>
      </c>
      <c r="C2507" s="1" t="n">
        <v>3990.0</v>
      </c>
      <c r="D2507" s="7" t="n">
        <f>HYPERLINK("https://www.somogyi.hu/product/home-kid-314-karacsonyfa-ablakdisz-10-db-led-ontapado-elemtarto-16-x-20-cm-kid-314-12029","https://www.somogyi.hu/product/home-kid-314-karacsonyfa-ablakdisz-10-db-led-ontapado-elemtarto-16-x-20-cm-kid-314-12029")</f>
        <v>0.0</v>
      </c>
      <c r="E2507" s="7" t="n">
        <f>HYPERLINK("https://www.somogyi.hu/data/img/product_main_images/small/12029.jpg","https://www.somogyi.hu/data/img/product_main_images/small/12029.jpg")</f>
        <v>0.0</v>
      </c>
      <c r="F2507" s="2" t="inlineStr">
        <is>
          <t>5999084902414</t>
        </is>
      </c>
      <c r="G2507" s="4" t="inlineStr">
        <is>
          <t>Szeretné apránként feldíszíteni otthonát? Ismerje meg a KID 314 LED-es karácsonyfa ablakdíszt, és tegyen egy lépést az ünnepi hangulat felé! 
A KID 314 10 db hidegfehér LED-del van ellátva, amelyek csillogó fényekkel töltik meg a figurát, így meghitt és ünnepi hangulatot teremtenek. 
Az átlátszó, 20 cm hosszú vezeték és az öntapadós elemtartó segítségével könnyedén rögzítheti a díszt az ablaküvegre. 
A tápellátás egyszerű: mindössze 3 db 1,5 V (AAA) elemre van szükség, melyek nem tartozékok. 
Tegye felejthetetlenné az ünnepet ezzel a hangulatos karácsonyfa ablakdísszel! Rendelje meg most KID 314 termékünket, és varázsoljon otthonába ünnepi fényeket!</t>
        </is>
      </c>
    </row>
    <row r="2508">
      <c r="A2508" s="3" t="inlineStr">
        <is>
          <t>KID502M</t>
        </is>
      </c>
      <c r="B2508" s="2" t="inlineStr">
        <is>
          <t>Home KID502M fenyőfa ablakdísz, kül- és beltéri kivitel, 35 db színes LED, 2 tapadókorong, fehér tápkábel, 33 x 28 cm</t>
        </is>
      </c>
      <c r="C2508" s="1" t="n">
        <v>3990.0</v>
      </c>
      <c r="D2508" s="7" t="n">
        <f>HYPERLINK("https://www.somogyi.hu/product/home-kid502m-fenyofa-ablakdisz-kul-es-belteri-kivitel-35-db-szines-led-2-tapadokorong-feher-tapkabel-33-x-28-cm-kid502m-18597","https://www.somogyi.hu/product/home-kid502m-fenyofa-ablakdisz-kul-es-belteri-kivitel-35-db-szines-led-2-tapadokorong-feher-tapkabel-33-x-28-cm-kid502m-18597")</f>
        <v>0.0</v>
      </c>
      <c r="E2508" s="7" t="n">
        <f>HYPERLINK("https://www.somogyi.hu/data/img/product_main_images/small/18597.jpg","https://www.somogyi.hu/data/img/product_main_images/small/18597.jpg")</f>
        <v>0.0</v>
      </c>
      <c r="F2508" s="2" t="inlineStr">
        <is>
          <t>5999084966157</t>
        </is>
      </c>
      <c r="G2508" s="4" t="inlineStr">
        <is>
          <t>Szeretné otthonát ünnepi hangulatba öltöztetni? A Home KID502M fenyőfa ablakdísz tökéletes választás az ablakok díszítéséhez akár kültéren, akár beltéren!
Ez a dekoráció 35 db Ø5mm színes LED-del van felszerelve, amelyek hangulatos, ünnepi fényt árasztanak. A 1,5 méteres fehér tápkábel az alján helyezkedik el, így könnyen csatlakoztatható az áramforráshoz anélkül, hogy zavaró lenne. A termék mérete 33 x 28 cm, így ideális méretű, hogy bármelyik ablakban elhelyezze.
A csomag tartalmaz 2 tapadókorongot is, melyekkel egyszerűen rögzíthető az ablakra. A 230V-os tápellátás biztosítja a megbízható működést, így az ünnepek alatt folyamatosan élvezheti a dísz fényét. A termék színes fejkártyával csomagolt, így ajándéknak is kiváló.
Varázsolja otthonát ünnepi díszbe a Home KID502M fenyőfa ablakdísszel, és tegye emlékezetessé az ünnepi szezont családja és barátai számára! Szerezze be most, és élvezze az ünnepi hangulatot minden nap!</t>
        </is>
      </c>
    </row>
    <row r="2509">
      <c r="A2509" s="3" t="inlineStr">
        <is>
          <t>KID 211 B/WW</t>
        </is>
      </c>
      <c r="B2509" s="2" t="inlineStr">
        <is>
          <t>Home KID 211 B/WW csillag ablakdísz, 20 db LED, 3 funkció, akril, tapadókorong</t>
        </is>
      </c>
      <c r="C2509" s="1" t="n">
        <v>4090.0</v>
      </c>
      <c r="D2509" s="7" t="n">
        <f>HYPERLINK("https://www.somogyi.hu/product/home-kid-211-b-ww-csillag-ablakdisz-20-db-led-3-funkcio-akril-tapadokorong-kid-211-b-ww-17039","https://www.somogyi.hu/product/home-kid-211-b-ww-csillag-ablakdisz-20-db-led-3-funkcio-akril-tapadokorong-kid-211-b-ww-17039")</f>
        <v>0.0</v>
      </c>
      <c r="E2509" s="7" t="n">
        <f>HYPERLINK("https://www.somogyi.hu/data/img/product_main_images/small/17039.jpg","https://www.somogyi.hu/data/img/product_main_images/small/17039.jpg")</f>
        <v>0.0</v>
      </c>
      <c r="F2509" s="2" t="inlineStr">
        <is>
          <t>5999084950712</t>
        </is>
      </c>
      <c r="G2509" s="4" t="inlineStr">
        <is>
          <t>Ön is szeretné az ablakokon keresztül becsempészni a csillagok fényét otthonába? A KID 211 B/WW fényes csillag ablakdísz pont ezt teszi lehetővé. 
Ez a kivételes ablakdísz 20 db melegfehér LED-del van ellátva, melyeknek fényét a fényes akril anyag még inkább kiemeli. Az ablakhoz való rögzítés is egyszerű, hiszen tartozék egy tapadókorong. A beépített ON/OFF/TIMER funkciókkal rendelkező készülék ismétlődő időzítése garantálja, hogy a dísz 6 órán át ragyogjon, majd 18 órára pihenjen. 
Az átlátszó vezeték diszkréten illeszkedik bármely dekorációhoz. A tápellátás egyszerű, csupán 2 db 1,5 V (AA) elemre van szükség, amelyeket külön kell beszereznie. 
Engedje meg, hogy a KID 211 B/WW fénysugárzó csillag ablakdísz meghozza az ünnepi hangulatot otthonába, és hagyja, hogy minden este a csillagok között érezze magát.</t>
        </is>
      </c>
    </row>
    <row r="2510">
      <c r="A2510" s="3" t="inlineStr">
        <is>
          <t>KID503M</t>
        </is>
      </c>
      <c r="B2510" s="2" t="inlineStr">
        <is>
          <t>Home KID503M csillag ablakdísz, kül- és beltéri kivitel, 35 db színes LED, 2 tapadókorong, fehér tápkábel, 33 x 28 cm</t>
        </is>
      </c>
      <c r="C2510" s="1" t="n">
        <v>3990.0</v>
      </c>
      <c r="D2510" s="7" t="n">
        <f>HYPERLINK("https://www.somogyi.hu/product/home-kid503m-csillag-ablakdisz-kul-es-belteri-kivitel-35-db-szines-led-2-tapadokorong-feher-tapkabel-33-x-28-cm-kid503m-18600","https://www.somogyi.hu/product/home-kid503m-csillag-ablakdisz-kul-es-belteri-kivitel-35-db-szines-led-2-tapadokorong-feher-tapkabel-33-x-28-cm-kid503m-18600")</f>
        <v>0.0</v>
      </c>
      <c r="E2510" s="7" t="n">
        <f>HYPERLINK("https://www.somogyi.hu/data/img/product_main_images/small/18600.jpg","https://www.somogyi.hu/data/img/product_main_images/small/18600.jpg")</f>
        <v>0.0</v>
      </c>
      <c r="F2510" s="2" t="inlineStr">
        <is>
          <t>5999084966188</t>
        </is>
      </c>
      <c r="G2510" s="4" t="inlineStr">
        <is>
          <t>Szeretné otthonát ünnepi hangulatba öltöztetni? A Home KID503MW csillag ablakdísz tökéletes választás az ablakok díszítéséhez kültéren és beltérben egyaránt!
Ez a dekoráció 35 db Ø5mm színes LED-del van felszerelve, amelyek hangulatos, ünnepi fényt árasztanak. A 1,5 méteres fehér tápkábel az alján helyezkedik el, így könnyen csatlakoztatható az áramforráshoz anélkül, hogy zavaró lenne. A termék mérete 33 x 28 cm, így ideális méretű, hogy bármelyik ablakban elhelyezze.
A csomag tartalmaz 2 tapadókorongot is, melyekkel egyszerűen rögzíthető az ablakra. A 230V-os tápellátás biztosítja a megbízható működést, így az ünnepek alatt folyamatosan élvezheti a dísz fényét. A termék színes fejkártyával csomagolt, így ajándéknak is kiváló.
Varázsolja otthonát ünnepi díszbe a Home KID503M csillag ablakdísszel, és tegye emlékezetessé az ünnepi szezont családja és barátai számára! Szerezze be most, és élvezze az ünnepi hangulatot minden nap!</t>
        </is>
      </c>
    </row>
    <row r="2511">
      <c r="A2511" s="3" t="inlineStr">
        <is>
          <t>KID 502 B/M</t>
        </is>
      </c>
      <c r="B2511" s="2" t="inlineStr">
        <is>
          <t>Home KID 502 B/M fenyőfa ablakdísz, 35 db színes LED, 3 funkció, kapcsolható</t>
        </is>
      </c>
      <c r="C2511" s="1" t="n">
        <v>2290.0</v>
      </c>
      <c r="D2511" s="7" t="n">
        <f>HYPERLINK("https://www.somogyi.hu/product/home-kid-502-b-m-fenyofa-ablakdisz-35-db-szines-led-3-funkcio-kapcsolhato-kid-502-b-m-17332","https://www.somogyi.hu/product/home-kid-502-b-m-fenyofa-ablakdisz-35-db-szines-led-3-funkcio-kapcsolhato-kid-502-b-m-17332")</f>
        <v>0.0</v>
      </c>
      <c r="E2511" s="7" t="n">
        <f>HYPERLINK("https://www.somogyi.hu/data/img/product_main_images/small/17332.jpg","https://www.somogyi.hu/data/img/product_main_images/small/17332.jpg")</f>
        <v>0.0</v>
      </c>
      <c r="F2511" s="2" t="inlineStr">
        <is>
          <t>5999084953546</t>
        </is>
      </c>
      <c r="G2511" s="4" t="inlineStr">
        <is>
          <t>Szeretné otthonát ünnepi fényekkel feldobni? 
A KID 502 B/M fenyőfa ablakdísz tökéletes választás az ablakdekoráció kedvelőinek, mely nem csak ragyogóan látványos, hanem rendkívül praktikus is. A tartozék 2 db tapadókoronggal könnyedén rögzíthető az ablakra vagy más sima felületre. 
Az ON/OFF/TIMER funkcióknak köszönhetően könnyedén beállítható a dísz világítása, így minden nap egyszerűen élvezheti a meghitt hangulatot. A TIMER funkció ismétlődő időzítésének köszönhetően a dísz 6 óra bekapcsolt állapot után automatikusan 18 órára kikapcsol. 
A fehér vezeték elegánsan illeszkedik nyílászárói környezetébe. A tápellátás egyszerű, mindössze 3 db 1,5 V (AA) elemre van szükség, amelyek nem tartozékok. 
A dísz 35 db színes LED-del van ellátva, amelyek kellemes fényt árasztanak, és meghitt környezetet teremtenek. 
Rendelje meg most a KID 502 B/M terméket, és tegye különlegessé otthonát ezzel a fenyőfa ablakdísszel!</t>
        </is>
      </c>
    </row>
    <row r="2512">
      <c r="A2512" s="3" t="inlineStr">
        <is>
          <t>KID 312</t>
        </is>
      </c>
      <c r="B2512" s="2" t="inlineStr">
        <is>
          <t>Home KID 312 hóember ablakdísz, 10 db LED, öntapadó elemtartó, 19 x 21 cm</t>
        </is>
      </c>
      <c r="C2512" s="1" t="n">
        <v>3990.0</v>
      </c>
      <c r="D2512" s="7" t="n">
        <f>HYPERLINK("https://www.somogyi.hu/product/home-kid-312-hoember-ablakdisz-10-db-led-ontapado-elemtarto-19-x-21-cm-kid-312-12027","https://www.somogyi.hu/product/home-kid-312-hoember-ablakdisz-10-db-led-ontapado-elemtarto-19-x-21-cm-kid-312-12027")</f>
        <v>0.0</v>
      </c>
      <c r="E2512" s="7" t="n">
        <f>HYPERLINK("https://www.somogyi.hu/data/img/product_main_images/small/12027.jpg","https://www.somogyi.hu/data/img/product_main_images/small/12027.jpg")</f>
        <v>0.0</v>
      </c>
      <c r="F2512" s="2" t="inlineStr">
        <is>
          <t>5999084902391</t>
        </is>
      </c>
      <c r="G2512" s="4" t="inlineStr">
        <is>
          <t>Szeretné apránként feldíszíteni otthonát? Ismerje meg a KID 312 LED-es hóember ablakdíszt, és tegyen egy lépést az ünnepi hangulat felé! 
A KID 312 10 db hidegfehér LED-del van ellátva, amelyek csillogó fényekkel töltik meg a figurát, így meghitt és ünnepi hangulatot teremtenek. 
Az átlátszó, 20 cm hosszú vezeték és az öntapadós elemtartó segítségével könnyedén rögzítheti a díszt az ablaküvegre. 
A tápellátás egyszerű: mindössze 3 db 1,5 V (AAA) elemre van szükség, melyek nem tartozékok. 
Tegye felejthetetlenné az ünnepet ezzel a hangulatos hóember ablakdísszel! Rendelje meg most KID 312 termékünket, és varázsoljon otthonába ünnepi fényeket!</t>
        </is>
      </c>
    </row>
    <row r="2513">
      <c r="A2513" s="3" t="inlineStr">
        <is>
          <t>KID 313</t>
        </is>
      </c>
      <c r="B2513" s="2" t="inlineStr">
        <is>
          <t>Home KID 313 LED-es Mikulás ablkadísz, beltéri kivitel, 10 db fehér LED, 19cm, 4,5V</t>
        </is>
      </c>
      <c r="C2513" s="1" t="n">
        <v>3990.0</v>
      </c>
      <c r="D2513" s="7" t="n">
        <f>HYPERLINK("https://www.somogyi.hu/product/home-kid-313-led-es-mikulas-ablkadisz-belteri-kivitel-10-db-feher-led-19cm-4-5v-kid-313-12028","https://www.somogyi.hu/product/home-kid-313-led-es-mikulas-ablkadisz-belteri-kivitel-10-db-feher-led-19cm-4-5v-kid-313-12028")</f>
        <v>0.0</v>
      </c>
      <c r="E2513" s="7" t="n">
        <f>HYPERLINK("https://www.somogyi.hu/data/img/product_main_images/small/12028.jpg","https://www.somogyi.hu/data/img/product_main_images/small/12028.jpg")</f>
        <v>0.0</v>
      </c>
      <c r="F2513" s="2" t="inlineStr">
        <is>
          <t>5999084902407</t>
        </is>
      </c>
      <c r="G2513" s="4" t="inlineStr">
        <is>
          <t>Képzelje el, hogy egy vidám, világító Mikulás mosolyog vissza Önre az ablakából! A Home KID 313 LED-es Mikulás ablakdísz tökéletes választás, ha egy kedves és figyelemfelkeltő dekorációval szeretné ünnepi hangulatba hozni otthonát. 
A 10 db fehér LED ragyogóan világítja meg a Mikulás alakját, garantálva, hogy már messziről is magára vonzza a figyelmet. A beltéri kivitel lehetővé teszi, hogy az ablakra vagy akár más felületekre is könnyedén felhelyezze. A dísz öntapadós elemtartóval rendelkezik, így a 3 darab 1,5 V-os AAA elem (nem tartozék) biztosítja az egyszerű tápellátást, kábelek nélkül. Kompakt méretével (19 x 18 cm) bármely ablakban jól mutat, és az ünnepi fények középpontjába kerül.
Díszítse otthonát ezzel a LED-es Mikulás ablakdísszel, és hozza el a karácsony vidám hangulatát minden sarokba!</t>
        </is>
      </c>
    </row>
    <row r="2514">
      <c r="A2514" s="3" t="inlineStr">
        <is>
          <t>KID 311</t>
        </is>
      </c>
      <c r="B2514" s="2" t="inlineStr">
        <is>
          <t>Home KID 311 rénszarvas ablakdísz, 10 db LED, öntapadó elemtartó, 10 x 26 cm</t>
        </is>
      </c>
      <c r="C2514" s="1" t="n">
        <v>3990.0</v>
      </c>
      <c r="D2514" s="7" t="n">
        <f>HYPERLINK("https://www.somogyi.hu/product/home-kid-311-renszarvas-ablakdisz-10-db-led-ontapado-elemtarto-10-x-26-cm-kid-311-12026","https://www.somogyi.hu/product/home-kid-311-renszarvas-ablakdisz-10-db-led-ontapado-elemtarto-10-x-26-cm-kid-311-12026")</f>
        <v>0.0</v>
      </c>
      <c r="E2514" s="7" t="n">
        <f>HYPERLINK("https://www.somogyi.hu/data/img/product_main_images/small/12026.jpg","https://www.somogyi.hu/data/img/product_main_images/small/12026.jpg")</f>
        <v>0.0</v>
      </c>
      <c r="F2514" s="2" t="inlineStr">
        <is>
          <t>5999084902384</t>
        </is>
      </c>
      <c r="G2514" s="4" t="inlineStr">
        <is>
          <t>Szeretné apránként feldíszíteni otthonát? Ismerje meg a KID 311 LED-es rénszarvas ablakdíszt, és tegyen egy lépést az ünnepi hangulat felé! 
A KID 311 10 db hidegfehér LED-del van ellátva, amelyek csillogó fényekkel töltik meg a figurát, így meghitt és ünnepi hangulatot teremtenek. 
Az átlátszó, 20 cm hosszú vezeték és az öntapadós elemtartó segítségével könnyedén rögzítheti a díszt az ablaküvegre. 
A tápellátás egyszerű: mindössze 3 db 1,5 V (AAA) elemre van szükség, melyek nem tartozékok. 
Tegye felejthetetlenné az ünnepet ezzel a hangulatos rénszarvas ablakdísszel! Rendelje meg most KID 311 termékünket, és varázsoljon otthonába ünnepi fényeket!</t>
        </is>
      </c>
    </row>
    <row r="2515">
      <c r="A2515" s="6" t="inlineStr">
        <is>
          <t xml:space="preserve">   Dekorációs világítás / Lámpás</t>
        </is>
      </c>
      <c r="B2515" s="6" t="inlineStr">
        <is>
          <t/>
        </is>
      </c>
      <c r="C2515" s="6" t="inlineStr">
        <is>
          <t/>
        </is>
      </c>
      <c r="D2515" s="6" t="inlineStr">
        <is>
          <t/>
        </is>
      </c>
      <c r="E2515" s="6" t="inlineStr">
        <is>
          <t/>
        </is>
      </c>
      <c r="F2515" s="6" t="inlineStr">
        <is>
          <t/>
        </is>
      </c>
      <c r="G2515" s="6" t="inlineStr">
        <is>
          <t/>
        </is>
      </c>
    </row>
    <row r="2516">
      <c r="A2516" s="3" t="inlineStr">
        <is>
          <t>LTN 18</t>
        </is>
      </c>
      <c r="B2516" s="2" t="inlineStr">
        <is>
          <t>Home LTN 18 lámpás vízkeveréssel, csillámokkal, hóember, LED, kapcsolható, 3 funkció, beltéri</t>
        </is>
      </c>
      <c r="C2516" s="1" t="n">
        <v>7790.0</v>
      </c>
      <c r="D2516" s="7" t="n">
        <f>HYPERLINK("https://www.somogyi.hu/product/home-ltn-18-lampas-vizkeveressel-csillamokkal-hoember-led-kapcsolhato-3-funkcio-belteri-ltn-18-17346","https://www.somogyi.hu/product/home-ltn-18-lampas-vizkeveressel-csillamokkal-hoember-led-kapcsolhato-3-funkcio-belteri-ltn-18-17346")</f>
        <v>0.0</v>
      </c>
      <c r="E2516" s="7" t="n">
        <f>HYPERLINK("https://www.somogyi.hu/data/img/product_main_images/small/17346.jpg","https://www.somogyi.hu/data/img/product_main_images/small/17346.jpg")</f>
        <v>0.0</v>
      </c>
      <c r="F2516" s="2" t="inlineStr">
        <is>
          <t>5999084953683</t>
        </is>
      </c>
      <c r="G2516" s="4" t="inlineStr">
        <is>
          <t>Szeretne belső tereibe egy varázslatos és különleges dekorációt? Az LTN 18 pontosan ezt kínálja. 
Ez a beltéri kivitelű lámpa egy hóember formájú, LED világítást biztosító lámpás. A csillámok a vízkeverés hatására mozognak, így teremtve csodálatos és elvarázsoló látványt.
A bekapcsolást követően a beépített ismétlődő időzítéssel (6 óra bekapcsolva, 18 óra kikapcsolva) energiát takaríthat meg, és nem kell aggódnia, hogy a lámpát bekapcsolva felejtette. A tápellátáshoz 3 db 1,5 V (AA) elem szükséges, amelyek nem tartoznak a csomaghoz.
Hozzon létre különleges és varázslatos hangulatot otthonában az LTN 18! Rendelje meg most és élvezze a meleg és barátságos fényt, amelyet ez a különleges lámpa nyújt!</t>
        </is>
      </c>
    </row>
    <row r="2517">
      <c r="A2517" s="3" t="inlineStr">
        <is>
          <t>LTN 14</t>
        </is>
      </c>
      <c r="B2517" s="2" t="inlineStr">
        <is>
          <t>Home LTN 14 lámpás vízkeveréssel, csillámokkal, mozdony, LED, kapcsolható, 3 funkció, műanyag, beltéri</t>
        </is>
      </c>
      <c r="C2517" s="1" t="n">
        <v>12190.0</v>
      </c>
      <c r="D2517" s="7" t="n">
        <f>HYPERLINK("https://www.somogyi.hu/product/home-ltn-14-lampas-vizkeveressel-csillamokkal-mozdony-led-kapcsolhato-3-funkcio-muanyag-belteri-ltn-14-17000","https://www.somogyi.hu/product/home-ltn-14-lampas-vizkeveressel-csillamokkal-mozdony-led-kapcsolhato-3-funkcio-muanyag-belteri-ltn-14-17000")</f>
        <v>0.0</v>
      </c>
      <c r="E2517" s="7" t="n">
        <f>HYPERLINK("https://www.somogyi.hu/data/img/product_main_images/small/17000.jpg","https://www.somogyi.hu/data/img/product_main_images/small/17000.jpg")</f>
        <v>0.0</v>
      </c>
      <c r="F2517" s="2" t="inlineStr">
        <is>
          <t>5999084950323</t>
        </is>
      </c>
      <c r="G2517" s="4" t="inlineStr">
        <is>
          <t>Szeretne belső tereibe egy varázslatos és különleges dekorációt? Az LTN 14 pontosan ezt kínálja. 
Ez a beltéri kivitelű lámpa egy mozdony formájú, műanyagból készült, és melegfehér LED világítást biztosító lámpás. A csillámok a vízkeverés hatására mozognak, így teremtve csodálatos és elvarázsoló látványt.
Az ON/OFF/TIMER kapcsoló lehetővé teszi, hogy be- és kikapcsolja a lámpát, vagy beállítsa az ismétlődő időzítést (6 óra bekapcsolva, 18 óra kikapcsolva), így energiát takaríthat meg, és nem kell aggódnia, hogy a lámpát bekapcsolva felejtette. A tápellátáshoz 3 db 1,5 V (AA) elem szükséges, amelyek nem tartoznak a csomaghoz.
Hozzon létre különleges és varázslatos hangulatot otthonában az LTN 14! Rendelje meg most és élvezze a meleg és barátságos fényt, amelyet ez a különleges lámpa nyújt!</t>
        </is>
      </c>
    </row>
    <row r="2518">
      <c r="A2518" s="3" t="inlineStr">
        <is>
          <t>LTN 17</t>
        </is>
      </c>
      <c r="B2518" s="2" t="inlineStr">
        <is>
          <t>Home LTN 17 lámpás vízkeveréssel, csillámokkal, katona, LED, kapcsolható, 3 funkció, műanyag, beltéri</t>
        </is>
      </c>
      <c r="C2518" s="1" t="n">
        <v>12190.0</v>
      </c>
      <c r="D2518" s="7" t="n">
        <f>HYPERLINK("https://www.somogyi.hu/product/home-ltn-17-lampas-vizkeveressel-csillamokkal-katona-led-kapcsolhato-3-funkcio-muanyag-belteri-ltn-17-17343","https://www.somogyi.hu/product/home-ltn-17-lampas-vizkeveressel-csillamokkal-katona-led-kapcsolhato-3-funkcio-muanyag-belteri-ltn-17-17343")</f>
        <v>0.0</v>
      </c>
      <c r="E2518" s="7" t="n">
        <f>HYPERLINK("https://www.somogyi.hu/data/img/product_main_images/small/17343.jpg","https://www.somogyi.hu/data/img/product_main_images/small/17343.jpg")</f>
        <v>0.0</v>
      </c>
      <c r="F2518" s="2" t="inlineStr">
        <is>
          <t>5999084953652</t>
        </is>
      </c>
      <c r="G2518" s="4" t="inlineStr">
        <is>
          <t>Szeretne belső tereibe egy varázslatos és különleges dekorációt? Az LTN 17 pontosan ezt kínálja. 
Ez a beltéri kivitelű lámpa egy katonát is ábrázoló, műanyagból készült, LED világítást biztosító lámpás. A csillámok a vízkeverés hatására mozognak, így teremtve csodálatos és elvarázsoló látványt.
Az ON/OFF/TIMER kapcsoló lehetővé teszi, hogy be- és kikapcsolja a lámpát, vagy beállítsa az ismétlődő időzítést (6 óra bekapcsolva, 18 óra kikapcsolva), így energiát takaríthat meg, és nem kell aggódnia, hogy a lámpát bekapcsolva felejtette. A tápellátáshoz 3 db 1,5 V (AA) elem szükséges, amelyek nem tartoznak a csomaghoz.
Hozzon létre különleges és varázslatos hangulatot otthonában az LTN 17! Rendelje meg most és élvezze a meleg és barátságos fényt, amelyet ez a különleges lámpa nyújt!</t>
        </is>
      </c>
    </row>
    <row r="2519">
      <c r="A2519" s="3" t="inlineStr">
        <is>
          <t>LTN 15</t>
        </is>
      </c>
      <c r="B2519" s="2" t="inlineStr">
        <is>
          <t>Home LTN 15 lámpás vízkeveréssel, csillámokkal, viharlámpa, LED, kapcsolható, műanyag, beltéri</t>
        </is>
      </c>
      <c r="C2519" s="1" t="n">
        <v>12190.0</v>
      </c>
      <c r="D2519" s="7" t="n">
        <f>HYPERLINK("https://www.somogyi.hu/product/home-ltn-15-lampas-vizkeveressel-csillamokkal-viharlampa-led-kapcsolhato-muanyag-belteri-ltn-15-17001","https://www.somogyi.hu/product/home-ltn-15-lampas-vizkeveressel-csillamokkal-viharlampa-led-kapcsolhato-muanyag-belteri-ltn-15-17001")</f>
        <v>0.0</v>
      </c>
      <c r="E2519" s="7" t="n">
        <f>HYPERLINK("https://www.somogyi.hu/data/img/product_main_images/small/17001.jpg","https://www.somogyi.hu/data/img/product_main_images/small/17001.jpg")</f>
        <v>0.0</v>
      </c>
      <c r="F2519" s="2" t="inlineStr">
        <is>
          <t>5999084950330</t>
        </is>
      </c>
      <c r="G2519" s="4" t="inlineStr">
        <is>
          <t>Szeretne belső tereibe egy varázslatos és különleges dekorációt? Az LTN 15 pontosan ezt kínálja. 
Ez a beltéri kivitelű termék viharlámpa formájú, műanyagból készült, és melegfehér LED világítást biztosító lámpás. A csillámok a vízkeverés hatására mozognak, így teremtve csodálatos és elvarázsoló látványt.
Az ON/OFF kapcsoló lehetővé teszi, hogy könnyedén be- és kikapcsolja a lámpát. A tápellátáshoz 3 db 1,5 V (AA) elem szükséges, amelyek nem tartoznak a csomaghoz.
Hozzon létre különleges és varázslatos hangulatot otthonában az LTN 15! Rendelje meg most és élvezze a meleg és barátságos fényt, amelyet ez a különleges lámpás nyújt!</t>
        </is>
      </c>
    </row>
    <row r="2520">
      <c r="A2520" s="3" t="inlineStr">
        <is>
          <t>LTN 16</t>
        </is>
      </c>
      <c r="B2520" s="2" t="inlineStr">
        <is>
          <t>Home LTN 16 lámpás vízkeveréssel, csillámokkal, mikulás, LED, kapcsolható, 3 funkció, műanyag, beltéri</t>
        </is>
      </c>
      <c r="C2520" s="1" t="n">
        <v>16590.0</v>
      </c>
      <c r="D2520" s="7" t="n">
        <f>HYPERLINK("https://www.somogyi.hu/product/home-ltn-16-lampas-vizkeveressel-csillamokkal-mikulas-led-kapcsolhato-3-funkcio-muanyag-belteri-ltn-16-17340","https://www.somogyi.hu/product/home-ltn-16-lampas-vizkeveressel-csillamokkal-mikulas-led-kapcsolhato-3-funkcio-muanyag-belteri-ltn-16-17340")</f>
        <v>0.0</v>
      </c>
      <c r="E2520" s="7" t="n">
        <f>HYPERLINK("https://www.somogyi.hu/data/img/product_main_images/small/17340.jpg","https://www.somogyi.hu/data/img/product_main_images/small/17340.jpg")</f>
        <v>0.0</v>
      </c>
      <c r="F2520" s="2" t="inlineStr">
        <is>
          <t>5999084953621</t>
        </is>
      </c>
      <c r="G2520" s="4" t="inlineStr">
        <is>
          <t>Szeretne belső tereibe egy varázslatos és különleges dekorációt? Az LTN 16 pontosan ezt kínálja. 
Ez a beltéri kivitelű lámpa egy mikulást is ábrázoló, műanyagból készült, LED világítást biztosító lámpás. A csillámok a vízkeverés hatására mozognak, így teremtve csodálatos és elvarázsoló látványt.
Az ON/OFF/TIMER kapcsoló lehetővé teszi, hogy be- és kikapcsolja a lámpát, vagy beállítsa az ismétlődő időzítést (6 óra bekapcsolva, 18 óra kikapcsolva), így energiát takaríthat meg, és nem kell aggódnia, hogy a lámpát bekapcsolva felejtette. A tápellátáshoz 3 db 1,5 V (AA) elem szükséges, amelyek nem tartoznak a csomaghoz.
Hozzon létre különleges és varázslatos hangulatot otthonában az LTN 16! Rendelje meg most és élvezze a meleg és barátságos fényt, amelyet ez a különleges lámpa nyújt!</t>
        </is>
      </c>
    </row>
    <row r="2521">
      <c r="A2521" s="6" t="inlineStr">
        <is>
          <t xml:space="preserve">   Dekorációs világítás / Akril figura</t>
        </is>
      </c>
      <c r="B2521" s="6" t="inlineStr">
        <is>
          <t/>
        </is>
      </c>
      <c r="C2521" s="6" t="inlineStr">
        <is>
          <t/>
        </is>
      </c>
      <c r="D2521" s="6" t="inlineStr">
        <is>
          <t/>
        </is>
      </c>
      <c r="E2521" s="6" t="inlineStr">
        <is>
          <t/>
        </is>
      </c>
      <c r="F2521" s="6" t="inlineStr">
        <is>
          <t/>
        </is>
      </c>
      <c r="G2521" s="6" t="inlineStr">
        <is>
          <t/>
        </is>
      </c>
    </row>
    <row r="2522">
      <c r="A2522" s="3" t="inlineStr">
        <is>
          <t>KDA 7</t>
        </is>
      </c>
      <c r="B2522" s="2" t="inlineStr">
        <is>
          <t>Home KDA 7 akril rénszarvas, 64 LED, IP44, kültéri, beltéri</t>
        </is>
      </c>
      <c r="C2522" s="1" t="n">
        <v>18990.0</v>
      </c>
      <c r="D2522" s="7" t="n">
        <f>HYPERLINK("https://www.somogyi.hu/product/home-kda-7-akril-renszarvas-64-led-ip44-kulteri-belteri-kda-7-14863","https://www.somogyi.hu/product/home-kda-7-akril-renszarvas-64-led-ip44-kulteri-belteri-kda-7-14863")</f>
        <v>0.0</v>
      </c>
      <c r="E2522" s="7" t="n">
        <f>HYPERLINK("https://www.somogyi.hu/data/img/product_main_images/small/14863.jpg","https://www.somogyi.hu/data/img/product_main_images/small/14863.jpg")</f>
        <v>0.0</v>
      </c>
      <c r="F2522" s="2" t="inlineStr">
        <is>
          <t>5999084929008</t>
        </is>
      </c>
      <c r="G2522" s="4" t="inlineStr">
        <is>
          <t>Varázsoljon ünnepi hangulatot otthonába az KDA 7 nevű akril rénszarvassal! 
Ez a csodálatos dekorációs elem ideális választás mind beltéri, mind kültéri használatra, hogy különlegessé tegye otthonát és ünnepi dekorációját. Az akril rénszarvas 64 db hidegfehér LED-del van felszerelve. A fények lágy ragyogása kellemes és meghitt atmoszférát teremt, amely tökéletesen illik az ünnepi időszakhoz. 
A termék tápellátását egy kültéri IP44-es hálózati adapter biztosítja, így könnyedén használhatja akár a kertben, teraszon vagy a nappaliban is. 
Hozza be az ünnepi varázslatot otthonába az KDA 7 nevű akril rénszarvassal, és teremtsen felejthetetlen emlékeket!</t>
        </is>
      </c>
    </row>
    <row r="2523">
      <c r="A2523" s="3" t="inlineStr">
        <is>
          <t>KDA 6</t>
        </is>
      </c>
      <c r="B2523" s="2" t="inlineStr">
        <is>
          <t>Home KDA 6 akril jegesmedve, 120 db LED, IP44, kültéri, beltéri</t>
        </is>
      </c>
      <c r="C2523" s="1" t="n">
        <v>47690.0</v>
      </c>
      <c r="D2523" s="7" t="n">
        <f>HYPERLINK("https://www.somogyi.hu/product/home-kda-6-akril-jegesmedve-120-db-led-ip44-kulteri-belteri-kda-6-14040","https://www.somogyi.hu/product/home-kda-6-akril-jegesmedve-120-db-led-ip44-kulteri-belteri-kda-6-14040")</f>
        <v>0.0</v>
      </c>
      <c r="E2523" s="7" t="n">
        <f>HYPERLINK("https://www.somogyi.hu/data/img/product_main_images/small/14040.jpg","https://www.somogyi.hu/data/img/product_main_images/small/14040.jpg")</f>
        <v>0.0</v>
      </c>
      <c r="F2523" s="2" t="inlineStr">
        <is>
          <t>5999084920920</t>
        </is>
      </c>
      <c r="G2523" s="4" t="inlineStr">
        <is>
          <t>Hozza el a telet otthonába a KDA 6 akril jegesmedvével! 
Ez a bájos dekoráció nemcsak esztétikus, hanem varázslatos hangulatot is teremt az ünnepi szezonban. A jegesmedvében elhelyezett 120 hidegfehér LED fényével a dekoráció életre kel, és ragyogóan világítja be a környezetét. 
A kültéri IP44-es hálózati adapterrel egyszerűen csatlakoztathatja a jegesmedvét az áramforráshoz, így élvezheti a gyönyörű fényjátékot akár a kertben, akár a nappalijában. Vigye haza a téli varázst a KDA 6 akril jegesmedvével, és teremtsen meghitt hangulatot az otthonában!</t>
        </is>
      </c>
    </row>
    <row r="2524">
      <c r="A2524" s="3" t="inlineStr">
        <is>
          <t>KDA 9</t>
        </is>
      </c>
      <c r="B2524" s="2" t="inlineStr">
        <is>
          <t>Home KDA 9 akril hóember, 80 LED, IP44, 3 darabos, kültéri, beltéri</t>
        </is>
      </c>
      <c r="C2524" s="1" t="n">
        <v>47690.0</v>
      </c>
      <c r="D2524" s="7" t="n">
        <f>HYPERLINK("https://www.somogyi.hu/product/home-kda-9-akril-hoember-80-led-ip44-3-darabos-kulteri-belteri-kda-9-16484","https://www.somogyi.hu/product/home-kda-9-akril-hoember-80-led-ip44-3-darabos-kulteri-belteri-kda-9-16484")</f>
        <v>0.0</v>
      </c>
      <c r="E2524" s="7" t="n">
        <f>HYPERLINK("https://www.somogyi.hu/data/img/product_main_images/small/16484.jpg","https://www.somogyi.hu/data/img/product_main_images/small/16484.jpg")</f>
        <v>0.0</v>
      </c>
      <c r="F2524" s="2" t="inlineStr">
        <is>
          <t>5999084945169</t>
        </is>
      </c>
      <c r="G2524" s="4" t="inlineStr">
        <is>
          <t>Hozza be az ünnepi hangulatot otthonába a KDA 9 nevű akril hóemberrel! 
Ez a varázslatos dekoráció boldogságot csempész a téli időszakba. A KDA 9 akril hóember 80 hidegfehér/melegfehér LED fényforrással van ellátva, melyek a figura minden részét átvilágítják. A hóember három darabból áll. 
A kültéri IP44-es hálózati adapterrel egyszerűen csatlakoztathatja a dekorációt az áramforráshoz, így gyönyörű fényei folyamatosan világíthatnak az ünnepi szezonban. 
Ne habozzon, tegye felejthetetlenné az ünnepeket az KDA 9 nevű akril hóemberrel!</t>
        </is>
      </c>
    </row>
    <row r="2525">
      <c r="A2525" s="3" t="inlineStr">
        <is>
          <t>KDA 11</t>
        </is>
      </c>
      <c r="B2525" s="2" t="inlineStr">
        <is>
          <t>Home KDA 11 akril mikulás, 16 db LED, IP44, színes, kültéri, beltéri</t>
        </is>
      </c>
      <c r="C2525" s="1" t="n">
        <v>5690.0</v>
      </c>
      <c r="D2525" s="7" t="n">
        <f>HYPERLINK("https://www.somogyi.hu/product/home-kda-11-akril-mikulas-16-db-led-ip44-szines-kulteri-belteri-kda-11-16975","https://www.somogyi.hu/product/home-kda-11-akril-mikulas-16-db-led-ip44-szines-kulteri-belteri-kda-11-16975")</f>
        <v>0.0</v>
      </c>
      <c r="E2525" s="7" t="n">
        <f>HYPERLINK("https://www.somogyi.hu/data/img/product_main_images/small/16975.jpg","https://www.somogyi.hu/data/img/product_main_images/small/16975.jpg")</f>
        <v>0.0</v>
      </c>
      <c r="F2525" s="2" t="inlineStr">
        <is>
          <t>5999084950071</t>
        </is>
      </c>
      <c r="G2525" s="4" t="inlineStr">
        <is>
          <t>Ismerkedjen meg a KDA 11 színes akril Mikulással! 
Ez a bájos dekoráció nem csak örömet hoz otthonába, hanem egyedi fényjátékkal is gazdagítja ünnepi hangulatát. A színes akril Mikulás 16 hidegfehér LED fényforrással rendelkezik. Kültéren és beltéren is elhelyezheti, így többféleképpen díszítheti vele otthonát. 
A kültéri IP44-es hálózati adapterrel könnyedén csatlakoztathatja a dekorációt a hálózathoz, így biztos lehet abban, hogy fényei folyamatosan ragyognak az ünnepek alatt. 
Ne habozzon, tegye felejthetetlenné az ünnepi időszakot a KDA 11 nevű színes akril Mikulással!</t>
        </is>
      </c>
    </row>
    <row r="2526">
      <c r="A2526" s="3" t="inlineStr">
        <is>
          <t>KDA 30</t>
        </is>
      </c>
      <c r="B2526" s="2" t="inlineStr">
        <is>
          <t>Home KDA 30 akril rénszarvas, 50 db LED, IP44, kültéri, beltéri</t>
        </is>
      </c>
      <c r="C2526" s="1" t="n">
        <v>41190.0</v>
      </c>
      <c r="D2526" s="7" t="n">
        <f>HYPERLINK("https://www.somogyi.hu/product/home-kda-30-akril-renszarvas-50-db-led-ip44-kulteri-belteri-kda-30-16499","https://www.somogyi.hu/product/home-kda-30-akril-renszarvas-50-db-led-ip44-kulteri-belteri-kda-30-16499")</f>
        <v>0.0</v>
      </c>
      <c r="E2526" s="7" t="n">
        <f>HYPERLINK("https://www.somogyi.hu/data/img/product_main_images/small/16499.jpg","https://www.somogyi.hu/data/img/product_main_images/small/16499.jpg")</f>
        <v>0.0</v>
      </c>
      <c r="F2526" s="2" t="inlineStr">
        <is>
          <t>5999084945312</t>
        </is>
      </c>
      <c r="G2526" s="4" t="inlineStr">
        <is>
          <t>Varázsoljon ünnepi hangulatot otthonába az KDA 30 nevű akril rénszarvassal! 
Ez a csodálatos dekorációs elem ideális választás mind beltéri, mind kültéri használatra, hogy különlegessé tegye otthonát és ünnepi dekorációját. Az akril rénszarvas 50 db hidegfehér/melegfehér LED-del van felszerelve, amelyek választható színben ragyoghatnak. A fények lágy ragyogása kellemes és meghitt atmoszférát teremt, amely tökéletesen illik az ünnepi időszakhoz. 
A termék tápellátását egy kültéri IP44-es hálózati adapter biztosítja, így könnyedén használhatja akár a kertben, teraszon vagy a nappaliban is. 
Hozza be az ünnepi varázslatot otthonába az KDA 30 nevű akril rénszarvassal, és teremtsen felejthetetlen emlékeket!</t>
        </is>
      </c>
    </row>
    <row r="2527">
      <c r="A2527" s="6" t="inlineStr">
        <is>
          <t xml:space="preserve">   Dekorációs világítás / Dekoráció</t>
        </is>
      </c>
      <c r="B2527" s="6" t="inlineStr">
        <is>
          <t/>
        </is>
      </c>
      <c r="C2527" s="6" t="inlineStr">
        <is>
          <t/>
        </is>
      </c>
      <c r="D2527" s="6" t="inlineStr">
        <is>
          <t/>
        </is>
      </c>
      <c r="E2527" s="6" t="inlineStr">
        <is>
          <t/>
        </is>
      </c>
      <c r="F2527" s="6" t="inlineStr">
        <is>
          <t/>
        </is>
      </c>
      <c r="G2527" s="6" t="inlineStr">
        <is>
          <t/>
        </is>
      </c>
    </row>
    <row r="2528">
      <c r="A2528" s="3" t="inlineStr">
        <is>
          <t>KAD 19 PINE</t>
        </is>
      </c>
      <c r="B2528" s="2" t="inlineStr">
        <is>
          <t>Home KAD 19 PINE karácsonyfa asztaldísz, 20 db LED, ABS műanyag, 21 x 39 cm</t>
        </is>
      </c>
      <c r="C2528" s="1" t="n">
        <v>4590.0</v>
      </c>
      <c r="D2528" s="7" t="n">
        <f>HYPERLINK("https://www.somogyi.hu/product/home-kad-19-pine-karacsonyfa-asztaldisz-20-db-led-abs-muanyag-21-x-39-cm-kad-19-pine-14862","https://www.somogyi.hu/product/home-kad-19-pine-karacsonyfa-asztaldisz-20-db-led-abs-muanyag-21-x-39-cm-kad-19-pine-14862")</f>
        <v>0.0</v>
      </c>
      <c r="E2528" s="7" t="n">
        <f>HYPERLINK("https://www.somogyi.hu/data/img/product_main_images/small/14862.jpg","https://www.somogyi.hu/data/img/product_main_images/small/14862.jpg")</f>
        <v>0.0</v>
      </c>
      <c r="F2528" s="2" t="inlineStr">
        <is>
          <t>5999084928995</t>
        </is>
      </c>
      <c r="G2528" s="4" t="inlineStr">
        <is>
          <t>Szeretné az ünnepi asztalt valami igazán különlegessé varázsolni? A KAD 19 PINE LED-es karácsonyfa asztaldísz remek lehetőség erre! Az asztaldíszben 20 db melegfehér LED található, ami garantáltan meleg, otthonos atmoszférát teremt az ünnepek alatt.
Az alapanyaga ABS műanyag, amely tartós és hosszú élettartamú, így évekig kiszolgálja majd Önt és családját. A termék tápellátása 3 x 1,5 V (AA) elemmel történik, melyek nem tartoznak a csomaghoz, azokat külön kell beszerezni.
Változtassa meg otthona hangulatát a KAD 19 PINE LED-es karácsonyfa asztaldísszel, és élvezze annak meleg, barátságos fényeit!</t>
        </is>
      </c>
    </row>
    <row r="2529">
      <c r="A2529" s="3" t="inlineStr">
        <is>
          <t>KDC 01</t>
        </is>
      </c>
      <c r="B2529" s="2" t="inlineStr">
        <is>
          <t>Home KDC 01 téli LED-es házikó, színes, 12 féle forma, polyresin, beltéri</t>
        </is>
      </c>
      <c r="C2529" s="1" t="n">
        <v>1990.0</v>
      </c>
      <c r="D2529" s="7" t="n">
        <f>HYPERLINK("https://www.somogyi.hu/product/home-kdc-01-teli-led-es-haziko-szines-12-fele-forma-polyresin-belteri-kdc-01-18128","https://www.somogyi.hu/product/home-kdc-01-teli-led-es-haziko-szines-12-fele-forma-polyresin-belteri-kdc-01-18128")</f>
        <v>0.0</v>
      </c>
      <c r="E2529" s="7" t="n">
        <f>HYPERLINK("https://www.somogyi.hu/data/img/product_main_images/small/18128.jpg","https://www.somogyi.hu/data/img/product_main_images/small/18128.jpg")</f>
        <v>0.0</v>
      </c>
      <c r="F2529" s="2" t="inlineStr">
        <is>
          <t>5999084961503</t>
        </is>
      </c>
      <c r="G2529" s="4" t="inlineStr">
        <is>
          <t>Egy olyan ünnepi díszt keres, amely azonnal melegséget és hangulatot hoz otthonába? A Home KDC 01 téli LED-es házikó tökéletes választás, ha szeretne egyedi, beltéri dekorációt, amely kiegészíti az ünnepi hangulatot.
Ez a bájos LED-es házikó 12-féle színben érhető el, így mindenki megtalálhatja a számára tökéletes díszt. Az aprólékosan kidolgozott házikó polyresin alapanyagból készült, amely tartós és részletgazdag megjelenést biztosít. A házikó belsejében LED világítás található, amely hangulatos fényt áraszt, és egyszerűen be- és kikapcsolható. A termékhez 2 darab 1,5 V-os (LR44) gombelem tartozik, így azonnal használatba vehető, nincs szükség további tartozékokra. A kompakt, 7 x 10 x 6 cm-es méretével könnyedén elhelyezhető asztalon, polcon vagy ablakpárkányon, és diszkréten egészíti ki az ünnepi dekorációt. Egy displayben 12 db különböző házikó található, így akár több variációval is díszítheti otthonát.
Teremtsen varázslatos téli hangulatot ezzel a LED-es házikóval – rendeljen most, és tegye otthonát igazán különlegessé az ünnepi időszakban!</t>
        </is>
      </c>
    </row>
    <row r="2530">
      <c r="A2530" s="3" t="inlineStr">
        <is>
          <t>MRLC 6/T</t>
        </is>
      </c>
      <c r="B2530" s="2" t="inlineStr">
        <is>
          <t>Home MRLC 6/T LED-es fenyőfa fényfüzér, 1 m / 72 db hidegfehér LED, alagúthatású fenyődísszel, állófényű, átlátszó vezeték, elemes, beltéri kivitel</t>
        </is>
      </c>
      <c r="C2530" s="1" t="n">
        <v>769.0</v>
      </c>
      <c r="D2530" s="7" t="n">
        <f>HYPERLINK("https://www.somogyi.hu/product/home-mrlc-6-t-led-es-fenyofa-fenyfuzer-1-m-72-db-hidegfeher-led-alaguthatasu-fenyodisszel-allofenyu-atlatszo-vezetek-elemes-belteri-kivitel-mrlc-6-t-16035","https://www.somogyi.hu/product/home-mrlc-6-t-led-es-fenyofa-fenyfuzer-1-m-72-db-hidegfeher-led-alaguthatasu-fenyodisszel-allofenyu-atlatszo-vezetek-elemes-belteri-kivitel-mrlc-6-t-16035")</f>
        <v>0.0</v>
      </c>
      <c r="E2530" s="7" t="n">
        <f>HYPERLINK("https://www.somogyi.hu/data/img/product_main_images/small/16035.jpg","https://www.somogyi.hu/data/img/product_main_images/small/16035.jpg")</f>
        <v>0.0</v>
      </c>
      <c r="F2530" s="2" t="inlineStr">
        <is>
          <t>5999084940676</t>
        </is>
      </c>
      <c r="G2530" s="4" t="inlineStr">
        <is>
          <t>Szeretne egy igazán különleges és ünnepi fényfüzért, amely feldobja otthona hangulatát? A Home MRLC 6/T LED-es fenyőfa fényfüzér lenyűgöző alagúthatású fényekkel és hidegfehér LED-ekkel hoz varázslatos hangulatot bármely beltéri térbe. 
Ez a különleges, 1 méter hosszú fényfüzér 6 db fenyődísszel rendelkezik, mindegyikben 12 darab hidegfehér LED világít, összesen 72 db LED-et biztosítva. A LED-ek egyedi elrendezése látványos, mélységet keltő alagúthatású fényt hoz létre, amely modern és ünnepi fényjátékot teremt. A fényfüzér átlátszó vezetéke diszkréten olvad a környezetbe, így a fenyők hidegfehér fénye kerül a figyelem középpontjába. Az állófényű LED-ek állandó, nyugodt ragyogást biztosítanak, tökéletesen illeszkedve a karácsonyi hangulathoz vagy bármilyen téli dekorációhoz.
A termék elemes kivitelű, így egyszerűen elhelyezhető bárhol a lakásban, anélkül, hogy konnektorhoz kellene csatlakoztatni. A tápellátást 3 db 1,5 V-os AA elem biztosítja (nem tartozék), ami rendkívüli rugalmasságot kínál a használat során, hiszen könnyedén mozgatható és új helyre is telepíthető. Ez a beltéri kivitelű LED-es fényfüzér tökéletes választás, ha egy különleges, mégis visszafogottan elegáns dekorációra vágyik, amely bármilyen ünnepi térben megállja a helyét. A fenyő alakú díszek egyedi fényhatása garantáltan lenyűgözi majd családját és vendégeit.
Teremtsen egyedi, varázslatos fényhatásokat otthonában a Home MRLC 6/T LED-es fenyőfa fényfüzérrel!</t>
        </is>
      </c>
    </row>
    <row r="2531">
      <c r="A2531" s="3" t="inlineStr">
        <is>
          <t>CDM16</t>
        </is>
      </c>
      <c r="B2531" s="2" t="inlineStr">
        <is>
          <t>Home CDM16 LED-es dekoráció, 2 féle akril angyal, melegfehér LED</t>
        </is>
      </c>
      <c r="C2531" s="1" t="n">
        <v>1550.0</v>
      </c>
      <c r="D2531" s="7" t="n">
        <f>HYPERLINK("https://www.somogyi.hu/product/home-cdm16-led-es-dekoracio-2-fele-akril-angyal-melegfeher-led-cdm16-18584","https://www.somogyi.hu/product/home-cdm16-led-es-dekoracio-2-fele-akril-angyal-melegfeher-led-cdm16-18584")</f>
        <v>0.0</v>
      </c>
      <c r="E2531" s="7" t="n">
        <f>HYPERLINK("https://www.somogyi.hu/data/img/product_main_images/small/18584.jpg","https://www.somogyi.hu/data/img/product_main_images/small/18584.jpg")</f>
        <v>0.0</v>
      </c>
      <c r="F2531" s="2" t="inlineStr">
        <is>
          <t>5999084966027</t>
        </is>
      </c>
      <c r="G2531" s="4" t="inlineStr">
        <is>
          <t>Szeretne egy csodálatos dekorációval melegséget varázsolni otthonába? Fedezze fel a Home CDM16 LED-es dekoráció varázsát, amely kétféle akril angyal figurával és melegfehér LED-ekkel díszíti bármely belső teret. 
Ez a beltéri kivitelű dekoráció tökéletes kiegészítője lesz az ünnepi hangulatnak, miközben a finom LED fények kellemes, meghitt atmoszférát teremtenek.
A Home CDM16 dekoráció könnyen be- és kikapcsolható, így kényelmesen kezelhető. A tápellátást egy 3 V-os (CR2032) gombelem biztosítja, amely a csomag része, így azonnal használatba veheti. Kompakt mérete (6,3 x 11 x 6 cm) miatt bárhol elhelyezhető, legyen az egy polc, asztal vagy ablakpárkány. A termék 12 db angyal figurát tartalmaz egy display-en, így akár több helyiséget is díszíthet vele.
Ne hagyja ki ezt az angyali fénydekorációt! Rendelje meg a Home CDM16 LED-es dekorációt még ma, és varázsoljon ünnepi hangulatot otthonába!</t>
        </is>
      </c>
    </row>
    <row r="2532">
      <c r="A2532" s="3" t="inlineStr">
        <is>
          <t>TAP 10</t>
        </is>
      </c>
      <c r="B2532" s="2" t="inlineStr">
        <is>
          <t>Home TAP 10 tapadókorong, 5 db</t>
        </is>
      </c>
      <c r="C2532" s="1" t="n">
        <v>719.0</v>
      </c>
      <c r="D2532" s="7" t="n">
        <f>HYPERLINK("https://www.somogyi.hu/product/home-tap-10-tapadokorong-5-db-tap-10-8610","https://www.somogyi.hu/product/home-tap-10-tapadokorong-5-db-tap-10-8610")</f>
        <v>0.0</v>
      </c>
      <c r="E2532" s="7" t="n">
        <f>HYPERLINK("https://www.somogyi.hu/data/img/product_main_images/small/08610.jpg","https://www.somogyi.hu/data/img/product_main_images/small/08610.jpg")</f>
        <v>0.0</v>
      </c>
      <c r="F2532" s="2" t="inlineStr">
        <is>
          <t>5998312775035</t>
        </is>
      </c>
      <c r="G2532" s="4" t="inlineStr">
        <is>
          <t>Önnek is gyakori dilemmát okoz, hogy az időszakos vagy hosszabbtávra szánt dekorációkat miképpen tudná anélkül felakasztani, hogy szögelni, esetleg fúrni kéne hozzá? Ez esetben a TAP 10-es tapadókorong garantált segítséget fog nyújtani.
A tapadókorong ideális a könnyebb dekorációk tartásához. Diszkrét külleme nem okoz feltűnést, szinte láthatatlan. Felragasztása könnyedén megoldható, hiszen kiválón tapad a sima fal -, üveg, csempe és egyéb felületeken. Válassza a minőségi termékeket és rendeljen webáruházunkból.</t>
        </is>
      </c>
    </row>
    <row r="2533">
      <c r="A2533" s="3" t="inlineStr">
        <is>
          <t>PLM 7/T</t>
        </is>
      </c>
      <c r="B2533" s="2" t="inlineStr">
        <is>
          <t>Home PLM 7/T LED-es asztali dísz, fenyő, 7 db LED, műanyag</t>
        </is>
      </c>
      <c r="C2533" s="1" t="n">
        <v>1290.0</v>
      </c>
      <c r="D2533" s="7" t="n">
        <f>HYPERLINK("https://www.somogyi.hu/product/home-plm-7-t-led-es-asztali-disz-fenyo-7-db-led-muanyag-plm-7-t-16006","https://www.somogyi.hu/product/home-plm-7-t-led-es-asztali-disz-fenyo-7-db-led-muanyag-plm-7-t-16006")</f>
        <v>0.0</v>
      </c>
      <c r="E2533" s="7" t="n">
        <f>HYPERLINK("https://www.somogyi.hu/data/img/product_main_images/small/16006.jpg","https://www.somogyi.hu/data/img/product_main_images/small/16006.jpg")</f>
        <v>0.0</v>
      </c>
      <c r="F2533" s="2" t="inlineStr">
        <is>
          <t>5999084940386</t>
        </is>
      </c>
      <c r="G2533" s="4" t="inlineStr">
        <is>
          <t>Egy különleges asztali díszt keres, amely meghitt, ünnepi hangulatot varázsol otthonába? A Home PLM 7/T LED-es fenyő asztali dísz tökéletes választás, ha modern és stílusos dekorációval szeretné feldobni az ünnepi időszakot. 
Ez a 20 x 22 x 3,5 cm-es dísz 7 db LED-del van ellátva, amelyek látványos alagúthatású fényhatást hoznak létre, a dísz mindkét oldalán ragyogó fényeket biztosítva. Az asztali dísz átlátszó vezetéke diszkréten olvad bele a környezetbe, így csak a fenyőfa ragyogása kerül a figyelem középpontjába. A műanyag kialakítású fenyő könnyen mozgatható és stabil, tökéletes kiegészítője bármilyen beltéri karácsonyi dekorációnak, legyen szó asztalról, polcról vagy akár ablakpárkányról.
A dísz elemes tápellátással működik, így nincs szükség hálózati csatlakozásra, ami rendkívüli rugalmasságot biztosít a használat során. A 3 db 1,5 V-os AA elem (nem tartozék) egyszerűen cserélhető, így hosszú távon is kényelmes megoldást nyújt. Ez az ünnepi asztali dísz nemcsak vizuálisan vonzó, de a modern alagúthatású LED-ek különleges megjelenést kölcsönöznek neki. Akár a nappali központi elemévé is válhat, hiszen a meleg fények barátságos, meghitt hangulatot teremtenek, amely minden vendéget elvarázsol.
Tegye különlegessé ünnepi asztalát vagy otthonának bármelyik pontját ezzel a gyönyörű, alagúthatású LED-es fenyő asztali dísszel!</t>
        </is>
      </c>
    </row>
    <row r="2534">
      <c r="A2534" s="3" t="inlineStr">
        <is>
          <t>DRM 8</t>
        </is>
      </c>
      <c r="B2534" s="2" t="inlineStr">
        <is>
          <t>Home DRM 8 dioráma, mikulás, vonat, LED, világító, zenélő, beltéri</t>
        </is>
      </c>
      <c r="C2534" s="1" t="n">
        <v>22890.0</v>
      </c>
      <c r="D2534" s="7" t="n">
        <f>HYPERLINK("https://www.somogyi.hu/product/home-drm-8-diorama-mikulas-vonat-led-vilagito-zenelo-belteri-drm-8-16056","https://www.somogyi.hu/product/home-drm-8-diorama-mikulas-vonat-led-vilagito-zenelo-belteri-drm-8-16056")</f>
        <v>0.0</v>
      </c>
      <c r="E2534" s="7" t="n">
        <f>HYPERLINK("https://www.somogyi.hu/data/img/product_main_images/small/16056.jpg","https://www.somogyi.hu/data/img/product_main_images/small/16056.jpg")</f>
        <v>0.0</v>
      </c>
      <c r="F2534" s="2" t="inlineStr">
        <is>
          <t>5999084940881</t>
        </is>
      </c>
      <c r="G2534" s="4" t="inlineStr">
        <is>
          <t>Azon gondolkozik hogyan tehetné még hangulatosabbá a karácsonyi ünnepeket? A DRM 8 gondoskodik erről! 
Ezt a beltéri kivitelű diorámát színes LED-ek és egy villogó fehér vaku teszi igazán lenyűgözővé. 
Mindeközben egy körbejáró kisvonat szeli át a tájat, ahol a fényképész a Mikulással és gyermekekkel foglalkozik. 
Lehetősége van választani egy kellemes karácsonyi dallam és a néma üzemmód között, amennyiben csendre vágyik. 
A tápellátást 3 x 1,5 V (AA) elem biztosítja, melyek nem részei a csomagnak, de játéktranszformátorral is üzemeltethető, amely szintén külön megvásárolandó.
Ne hagyja ki ezt a különleges karácsonyi díszt! Tegye az otthonát meghitté és varázslatossá a DRM 8-cal!</t>
        </is>
      </c>
    </row>
    <row r="2535">
      <c r="A2535" s="3" t="inlineStr">
        <is>
          <t>DRM 10</t>
        </is>
      </c>
      <c r="B2535" s="2" t="inlineStr">
        <is>
          <t>Home DRM 10 világító karácsonyi falu, szán, mikulás, színes LED, zenélő, világító, beltéri</t>
        </is>
      </c>
      <c r="C2535" s="1" t="n">
        <v>28990.0</v>
      </c>
      <c r="D2535" s="7" t="n">
        <f>HYPERLINK("https://www.somogyi.hu/product/home-drm-10-vilagito-karacsonyi-falu-szan-mikulas-szines-led-zenelo-vilagito-belteri-drm-10-16058","https://www.somogyi.hu/product/home-drm-10-vilagito-karacsonyi-falu-szan-mikulas-szines-led-zenelo-vilagito-belteri-drm-10-16058")</f>
        <v>0.0</v>
      </c>
      <c r="E2535" s="7" t="n">
        <f>HYPERLINK("https://www.somogyi.hu/data/img/product_main_images/small/16058.jpg","https://www.somogyi.hu/data/img/product_main_images/small/16058.jpg")</f>
        <v>0.0</v>
      </c>
      <c r="F2535" s="2" t="inlineStr">
        <is>
          <t>5999084940904</t>
        </is>
      </c>
      <c r="G2535" s="4" t="inlineStr">
        <is>
          <t>Szeretne egy meghitt, világító karácsonyi díszt, amely otthona minden szegletében megidézi az ünnepi hangulatot? A DRM 10-es világító karácsonyi falu tökéletes választás!
A színes LED fényekkel megvilágított, bájos kis patak melletti falu a templomával, körben járó Mikulással és vidám gyermekekkel együtt teremt varázslatos látványt. A szettben mozgó szán is található, amely még élénkebbé teszi az egész jelenetet. 
A készülékhez kellemes dallam társul, de ha a csendet részesíti előnyben, akkor választhatja a néma üzemmódot is. 
Fontos megjegyezni, hogy a tápellátást 3 x 1,5 (AA) elem, vagy játéktranszformátor biztosítja, melyek nem részei a készletnek.
Engedje meg, hogy a DRM 10-es világító karácsonyi falu az ünnepi időszakban melegséggel töltse meg otthonát!</t>
        </is>
      </c>
    </row>
    <row r="2536">
      <c r="A2536" s="3" t="inlineStr">
        <is>
          <t>DECO 6</t>
        </is>
      </c>
      <c r="B2536" s="2" t="inlineStr">
        <is>
          <t>Home DECO 6 dekoráció izzósorhoz, csillag, 50 db, Ø5 mm-es LED-re</t>
        </is>
      </c>
      <c r="C2536" s="1" t="n">
        <v>609.0</v>
      </c>
      <c r="D2536" s="7" t="n">
        <f>HYPERLINK("https://www.somogyi.hu/product/home-deco-6-dekoracio-izzosorhoz-csillag-50-db-5-mm-es-led-re-deco-6-14851","https://www.somogyi.hu/product/home-deco-6-dekoracio-izzosorhoz-csillag-50-db-5-mm-es-led-re-deco-6-14851")</f>
        <v>0.0</v>
      </c>
      <c r="E2536" s="7" t="n">
        <f>HYPERLINK("https://www.somogyi.hu/data/img/product_main_images/small/14851.jpg","https://www.somogyi.hu/data/img/product_main_images/small/14851.jpg")</f>
        <v>0.0</v>
      </c>
      <c r="F2536" s="2" t="inlineStr">
        <is>
          <t>5999084928889</t>
        </is>
      </c>
      <c r="G2536" s="4" t="inlineStr">
        <is>
          <t>Szeretné izzósorát igazán különlegessé tenni, és egyedülálló hangulatot varázsolni otthonába vagy a kertjébe? A Home DECO 6 dekoráció izzósorhoz tökéletes megoldás, ha kültéren vagy beltéren is ünnepi, csillag megjelenést szeretne.
Ez az egyedi dekorációs szett 50 darab, finoman kidolgozott csillagból áll, amelyek Ø5 mm-es LED-izzókra helyezhetők, ezzel varázslatos fényjátékot hozva létre. A csillagok mérete 24x28 mm, így látványos, mégis elegáns díszítést biztosítanak, amely tökéletes kiegészítője lehet karácsonyi vagy téli dekorációjának. A termék kül- és beltéri használatra is alkalmas, így az izzósort a házban vagy a kertben is feldíszítheti.
Adjon egyedi, ünnepi ragyogást izzósorának ezzel a csillag dekorációval – rendeljen most, és tegye feledhetetlenné az ünnepi időszakot!</t>
        </is>
      </c>
    </row>
    <row r="2537">
      <c r="A2537" s="3" t="inlineStr">
        <is>
          <t>DECO 2</t>
        </is>
      </c>
      <c r="B2537" s="2" t="inlineStr">
        <is>
          <t>Home DECO 2 dekoráció izzósorhoz, gömb, 50 db, Ø5 mm-es LED-re</t>
        </is>
      </c>
      <c r="C2537" s="1" t="n">
        <v>479.0</v>
      </c>
      <c r="D2537" s="7" t="n">
        <f>HYPERLINK("https://www.somogyi.hu/product/home-deco-2-dekoracio-izzosorhoz-gomb-50-db-5-mm-es-led-re-deco-2-14847","https://www.somogyi.hu/product/home-deco-2-dekoracio-izzosorhoz-gomb-50-db-5-mm-es-led-re-deco-2-14847")</f>
        <v>0.0</v>
      </c>
      <c r="E2537" s="7" t="n">
        <f>HYPERLINK("https://www.somogyi.hu/data/img/product_main_images/small/14847.jpg","https://www.somogyi.hu/data/img/product_main_images/small/14847.jpg")</f>
        <v>0.0</v>
      </c>
      <c r="F2537" s="2" t="inlineStr">
        <is>
          <t>5999084928841</t>
        </is>
      </c>
      <c r="G2537" s="4" t="inlineStr">
        <is>
          <t>Szeretné izzósorát igazán különlegessé tenni, és egyedülálló hangulatot varázsolni otthonába vagy a kertjébe? A Home DECO 2 dekoráció izzósorhoz tökéletes megoldás, ha kültéren vagy beltéren is ünnepi, gömbkristáy megjelenést szeretne.
Ez az egyedi dekorációs szett 50 darab, finoman kidolgozott gömbből áll, amelyek Ø5 mm-es LED-izzókra helyezhetők, ezzel varázslatos fényjátékot hozva létre. A gömbök mérete 12 mm, így látványos, mégis elegáns díszítést biztosítanak, amely tökéletes kiegészítője lehet karácsonyi vagy téli dekorációjának. A termék kül- és beltéri használatra is alkalmas, így az izzósort a házban vagy a kertben is feldíszítheti.
Adjon egyedi, ünnepi ragyogást izzósorának ezzel a gömb dekorációval – rendeljen most, és tegye feledhetetlenné az ünnepi időszakot!</t>
        </is>
      </c>
    </row>
    <row r="2538">
      <c r="A2538" s="3" t="inlineStr">
        <is>
          <t>GLE 15/WW</t>
        </is>
      </c>
      <c r="B2538" s="2" t="inlineStr">
        <is>
          <t>Home GLE 15/WW, EVA gömb dekoráció, rugalmas alapanyag, 2 db LED, 15 cm átmérő</t>
        </is>
      </c>
      <c r="C2538" s="1" t="n">
        <v>4590.0</v>
      </c>
      <c r="D2538" s="7" t="n">
        <f>HYPERLINK("https://www.somogyi.hu/product/home-gle-15-ww-eva-gomb-dekoracio-rugalmas-alapanyag-2-db-led-15-cm-atmero-gle-15-ww-14731","https://www.somogyi.hu/product/home-gle-15-ww-eva-gomb-dekoracio-rugalmas-alapanyag-2-db-led-15-cm-atmero-gle-15-ww-14731")</f>
        <v>0.0</v>
      </c>
      <c r="E2538" s="7" t="n">
        <f>HYPERLINK("https://www.somogyi.hu/data/img/product_main_images/small/14731.jpg","https://www.somogyi.hu/data/img/product_main_images/small/14731.jpg")</f>
        <v>0.0</v>
      </c>
      <c r="F2538" s="2" t="inlineStr">
        <is>
          <t>5999084927738</t>
        </is>
      </c>
      <c r="G2538" s="4" t="inlineStr">
        <is>
          <t>Egy elegáns, de egyszerű dekorációt keres, amely otthonában vagy irodájában bármilyen alkalomra illik? A GLE 15/WW EVA gömb dekoráció kiváló választás lehet. 
A termék rugalmas EVA alapanyagból készült, amely tartósságot és sokoldalúságot biztosít. A 15 cm átmérőjű gömbben található 2 db melegfehér LED fényt bocsát ki, amely kellemes atmoszférát teremt a környezetében.
Az elemekkel való működtetés lehetővé teszi, hogy bárhol elhelyezze, anélkül, hogy aggódnia kellene az elektromos csatlakozás miatt. Kérjük vegye figyelembe, hogy a tápellátáshoz 3 db 1,5 V (AA) elem szükséges, amelyek nem tartoznak a csomaghoz.
Tegye otthonát vagy irodáját hangulatosabbá a GLE 15/WW EVA gömb dekorációval! Rendelje meg most, és teremtsen kellemes atmoszférát dekorációjával!</t>
        </is>
      </c>
    </row>
    <row r="2539">
      <c r="A2539" s="3" t="inlineStr">
        <is>
          <t>KDC 13</t>
        </is>
      </c>
      <c r="B2539" s="2" t="inlineStr">
        <is>
          <t>Home KDC 13 LED-es kerámia angyal figura, 1 db LED, fenyőfa</t>
        </is>
      </c>
      <c r="C2539" s="1" t="n">
        <v>3690.0</v>
      </c>
      <c r="D2539" s="7" t="n">
        <f>HYPERLINK("https://www.somogyi.hu/product/home-kdc-13-led-es-keramia-angyal-figura-1-db-led-fenyofa-kdc-13-16560","https://www.somogyi.hu/product/home-kdc-13-led-es-keramia-angyal-figura-1-db-led-fenyofa-kdc-13-16560")</f>
        <v>0.0</v>
      </c>
      <c r="E2539" s="7" t="n">
        <f>HYPERLINK("https://www.somogyi.hu/data/img/product_main_images/small/16560.jpg","https://www.somogyi.hu/data/img/product_main_images/small/16560.jpg")</f>
        <v>0.0</v>
      </c>
      <c r="F2539" s="2" t="inlineStr">
        <is>
          <t>5999084945923</t>
        </is>
      </c>
      <c r="G2539" s="4" t="inlineStr">
        <is>
          <t>Szeretne egy olyan dekorációt, amely angyali szépséggel és meleg fénnyel tölti meg otthonát? A Home KDC 13 LED-es kerámia angyal figura tökéletes választás, ha szeretné, hogy az ünnepi hangulatot egy elegáns és szemet gyönyörködtető dísz kísérje.
Ez a beltéri kivitelű angyal figura egy világító fenyővel van díszítve, amelyet egy melegfehér LED világít meg. Az aprólékosan kidolgozott kerámia alapanyag biztosítja, hogy a dísz stílusos és tartós maradjon, miközben finom, ünnepi fényt áraszt. Az angyal dekoráció kiváló választás asztali vagy polcra helyezett dekorációként, és kellemes kiegészítője lehet bármely helyiségnek. A tápellátást 2 darab 1,5 V-os (LR44) elem biztosítja, melyek a csomagban megtalálhatók, így az angyal azonnal használatra kész.
Tegye különlegessé otthonát ezzel a bájos, világító angyal figurával – rendelje meg most, és varázsoljon ünnepi hangulatot minden nap!</t>
        </is>
      </c>
    </row>
    <row r="2540">
      <c r="A2540" s="3" t="inlineStr">
        <is>
          <t>GB 23/RD</t>
        </is>
      </c>
      <c r="B2540" s="2" t="inlineStr">
        <is>
          <t>Home GB 23/YE dekorációs üveg, 1 db narancs LED mécses, piros</t>
        </is>
      </c>
      <c r="C2540" s="1" t="n">
        <v>689.0</v>
      </c>
      <c r="D2540" s="7" t="n">
        <f>HYPERLINK("https://www.somogyi.hu/product/home-gb-23-ye-dekoracios-uveg-1-db-narancs-led-mecses-piros-gb-23-rd-15185","https://www.somogyi.hu/product/home-gb-23-ye-dekoracios-uveg-1-db-narancs-led-mecses-piros-gb-23-rd-15185")</f>
        <v>0.0</v>
      </c>
      <c r="E2540" s="7" t="n">
        <f>HYPERLINK("https://www.somogyi.hu/data/img/product_main_images/small/15185.jpg","https://www.somogyi.hu/data/img/product_main_images/small/15185.jpg")</f>
        <v>0.0</v>
      </c>
      <c r="F2540" s="2" t="inlineStr">
        <is>
          <t>5999084932190</t>
        </is>
      </c>
      <c r="G2540" s="4" t="inlineStr">
        <is>
          <t>Ha Ön is kedveli a kreatív tárgyakat és kiegészítőket, akkor egészen biztos, hogy ez a LED mécsessel ellátott dekorációs üveg a kedvence lesz.
A beltéri kivitelre szánt termék világítását 1 db pislákoló narancs színű LED mécses szolgáltatja, amely egy 30 cm-es lánc segítségével fel is akasztható.
A termék tápellátását CR2032 gombelem biztosítja. Mérete: ∅8 x 23 cm. Válassza  a minőségi termékeket és rendeljen webáruházunkból!</t>
        </is>
      </c>
    </row>
    <row r="2541">
      <c r="A2541" s="3" t="inlineStr">
        <is>
          <t>DECO 5</t>
        </is>
      </c>
      <c r="B2541" s="2" t="inlineStr">
        <is>
          <t>Home DECO 5 dekoráció szett, kocka alakú, 50 db, Ø5 mm-es LED-re, kül- és beltéri kivitel</t>
        </is>
      </c>
      <c r="C2541" s="1" t="n">
        <v>879.0</v>
      </c>
      <c r="D2541" s="7" t="n">
        <f>HYPERLINK("https://www.somogyi.hu/product/home-deco-5-dekoracio-szett-kocka-alaku-50-db-5-mm-es-led-re-kul-es-belteri-kivitel-deco-5-14850","https://www.somogyi.hu/product/home-deco-5-dekoracio-szett-kocka-alaku-50-db-5-mm-es-led-re-kul-es-belteri-kivitel-deco-5-14850")</f>
        <v>0.0</v>
      </c>
      <c r="E2541" s="7" t="n">
        <f>HYPERLINK("https://www.somogyi.hu/data/img/product_main_images/small/14850.jpg","https://www.somogyi.hu/data/img/product_main_images/small/14850.jpg")</f>
        <v>0.0</v>
      </c>
      <c r="F2541" s="2" t="inlineStr">
        <is>
          <t>5999084928872</t>
        </is>
      </c>
      <c r="G2541" s="4" t="inlineStr">
        <is>
          <t>Szeretné LED fényeit még különlegesebbé tenni? A DECO 5 dekorációs szett a válasz kreatív igényére!
Ezen exkluzív kocka design szett kifejezetten ∅5 mm-es LED-ekhez lett tervezve. Mi több, tökéletesen kompatibilis az alábbi sorozatokkal: KII 50 LED series, KII 100 LED series, KII 200 LED series, KKL 100 series, KKL 200 series, KKL 500 series, KKL 1000 series, LED 108 series és LED 208 series.
Növelje otthona vagy irodája stílusfaktorát és hozzon létre egyedi megjelenést LED világításaival és a DECO 5 dekorációs szettel. Mert a minőségi dekorációval minden LED a legjobb formáját mutatja!</t>
        </is>
      </c>
    </row>
    <row r="2542">
      <c r="A2542" s="3" t="inlineStr">
        <is>
          <t>CDM 12</t>
        </is>
      </c>
      <c r="B2542" s="2" t="inlineStr">
        <is>
          <t>Home CDM 12 LED-es fenyőfa asztali dísz, 12cm, 3D akril dekoráció</t>
        </is>
      </c>
      <c r="C2542" s="1" t="n">
        <v>909.0</v>
      </c>
      <c r="D2542" s="7" t="n">
        <f>HYPERLINK("https://www.somogyi.hu/product/home-cdm-12-led-es-fenyofa-asztali-disz-12cm-3d-akril-dekoracio-cdm-12-15637","https://www.somogyi.hu/product/home-cdm-12-led-es-fenyofa-asztali-disz-12cm-3d-akril-dekoracio-cdm-12-15637")</f>
        <v>0.0</v>
      </c>
      <c r="E2542" s="7" t="n">
        <f>HYPERLINK("https://www.somogyi.hu/data/img/product_main_images/small/15637.jpg","https://www.somogyi.hu/data/img/product_main_images/small/15637.jpg")</f>
        <v>0.0</v>
      </c>
      <c r="F2542" s="2" t="inlineStr">
        <is>
          <t>5999084936716</t>
        </is>
      </c>
      <c r="G2542" s="4" t="inlineStr">
        <is>
          <t>Szeretne egy igazán különleges karácsonyi díszt, amely egyszerre stílusos és praktikus? A Home CDM 12 LED-es fenyőfa asztali dísz tökéletes választás, ha egyedi fényjátékkal szeretné feldobni ünnepi dekorációját.
Ez a beltéri kivitelű 3D akril dekoráció egy 12 cm-es, gyönyörűen megmunkált fenyőfa alakban jelenik meg, amely bármely asztalon vagy polcon elegánsan mutat. A dísz központi eleme egy színváltó LED, amely folyamatosan váltja a színeket, ezzel nyújtva különleges vizuális élményt. A ki- és bekapcsolható funkciónak köszönhetően Ön irányíthatja, mikor szeretné megcsodálni ezt a hangulatos fényjátékot. A tápellátást 2 db 1,5 V-os LR44 elem biztosítja, melyeket a csomag tartalmaz, így a termék azonnal használatra kész.
Hozza el otthonába a karácsony varázslatos fényét ezzel a különleges LED-es fenyőfa asztali dísszel – rendeljen most, és tegye ünnepivé otthonát egyszerűen és stílusosan!</t>
        </is>
      </c>
    </row>
    <row r="2543">
      <c r="A2543" s="3" t="inlineStr">
        <is>
          <t>MRL 22/T</t>
        </is>
      </c>
      <c r="B2543" s="2" t="inlineStr">
        <is>
          <t>Home MRLC 6/S LED-es csillag fényfüzér, 1 m / 72 db hidegfehér LED, alagúthatású csillagdísszel, állófényű, átlátszó vezeték, elemes, beltéri kivitel</t>
        </is>
      </c>
      <c r="C2543" s="1" t="n">
        <v>1290.0</v>
      </c>
      <c r="D2543" s="7" t="n">
        <f>HYPERLINK("https://www.somogyi.hu/product/home-mrlc-6-s-led-es-csillag-fenyfuzer-1-m-72-db-hidegfeher-led-alaguthatasu-csillagdisszel-allofenyu-atlatszo-vezetek-elemes-belteri-kivitel-mrl-22-t-16034","https://www.somogyi.hu/product/home-mrlc-6-s-led-es-csillag-fenyfuzer-1-m-72-db-hidegfeher-led-alaguthatasu-csillagdisszel-allofenyu-atlatszo-vezetek-elemes-belteri-kivitel-mrl-22-t-16034")</f>
        <v>0.0</v>
      </c>
      <c r="E2543" s="7" t="n">
        <f>HYPERLINK("https://www.somogyi.hu/data/img/product_main_images/small/16034.jpg","https://www.somogyi.hu/data/img/product_main_images/small/16034.jpg")</f>
        <v>0.0</v>
      </c>
      <c r="F2543" s="2" t="inlineStr">
        <is>
          <t>5999084940669</t>
        </is>
      </c>
      <c r="G2543" s="4" t="inlineStr">
        <is>
          <t>Szeretne egy igazán különleges és ünnepi fényfüzért, amely feldobja otthona hangulatát? A Home MRLC 6/S LED-es csillag fényfüzér lenyűgöző alagúthatású fényekkel és hidegfehér LED-ekkel hoz varázslatos hangulatot bármely beltéri térbe. 
Ez a különleges, 1 méter hosszú fényfüzér 6 db csillagdísszel rendelkezik, mindegyikben 12 darab hidegfehér LED világít, összesen 72 db LED-et biztosítva. A LED-ek egyedi elrendezése látványos, mélységet keltő alagúthatású fényt hoz létre, amely modern és ünnepi fényjátékot teremt. A fényfüzér átlátszó vezetéke diszkréten olvad a környezetbe, így a csillagok hidegfehér fénye kerül a figyelem középpontjába. Az állófényű LED-ek állandó, nyugodt ragyogást biztosítanak, tökéletesen illeszkedve a karácsonyi hangulathoz vagy bármilyen téli dekorációhoz.
A termék elemes kivitelű, így egyszerűen elhelyezhető bárhol a lakásban, anélkül, hogy konnektorhoz kellene csatlakoztatni. A tápellátást 3 db 1,5 V-os AA elem biztosítja (nem tartozék), ami rendkívüli rugalmasságot kínál a használat során, hiszen könnyedén mozgatható és új helyre is telepíthető. Ez a beltéri kivitelű LED-es fényfüzér tökéletes választás, ha egy különleges, mégis visszafogottan elegáns dekorációra vágyik, amely bármilyen ünnepi térben megállja a helyét. A csillag alakú díszek egyedi fényhatása garantáltan lenyűgözi majd családját és vendégeit.
Teremtsen egyedi, varázslatos fényhatásokat otthonában a Home MRLC 6/S LED-es csillag fényfüzérrel!</t>
        </is>
      </c>
    </row>
    <row r="2544">
      <c r="A2544" s="3" t="inlineStr">
        <is>
          <t>MRLC 6/S</t>
        </is>
      </c>
      <c r="B2544" s="2" t="inlineStr">
        <is>
          <t>Home MRLC 6/S LED-es tükördísz fényfüzér, 1 m / 72 db hidegfehér LED, alagúthatású csillagdísszel, állófényű, átlátszó vezeték, elemes, beltéri kivitel</t>
        </is>
      </c>
      <c r="C2544" s="1" t="n">
        <v>769.0</v>
      </c>
      <c r="D2544" s="7" t="n">
        <f>HYPERLINK("https://www.somogyi.hu/product/home-mrlc-6-s-led-es-tukordisz-fenyfuzer-1-m-72-db-hidegfeher-led-alaguthatasu-csillagdisszel-allofenyu-atlatszo-vezetek-elemes-belteri-kivitel-mrlc-6-s-16036","https://www.somogyi.hu/product/home-mrlc-6-s-led-es-tukordisz-fenyfuzer-1-m-72-db-hidegfeher-led-alaguthatasu-csillagdisszel-allofenyu-atlatszo-vezetek-elemes-belteri-kivitel-mrlc-6-s-16036")</f>
        <v>0.0</v>
      </c>
      <c r="E2544" s="7" t="n">
        <f>HYPERLINK("https://www.somogyi.hu/data/img/product_main_images/small/16036.jpg","https://www.somogyi.hu/data/img/product_main_images/small/16036.jpg")</f>
        <v>0.0</v>
      </c>
      <c r="F2544" s="2" t="inlineStr">
        <is>
          <t>5999084940683</t>
        </is>
      </c>
      <c r="G2544" s="4" t="inlineStr">
        <is>
          <t>Engedje, hogy az MRLC 6/S tükördísz fényfüzér új szintre emelje otthona hangulatát! 
Ez a különleges beltéri dekoráció alagúthatású LED-fényeffekttel rendelkezik mindkét oldalán, és hat hidegfehér csillagdísszel van díszítve, melyekben egyenként tizenkét LED ragyog. 
Az átlátszó vezeték és a be/ki kapcsoló egyszerű használatot biztosít, tápellátását három darab 1,5 V (AA) elem szolgáltatja (nem tartozék). 
Fedezze fel ezt a varázslatos tükördíszt, és teremtsen új fényeket az otthonában!</t>
        </is>
      </c>
    </row>
    <row r="2545">
      <c r="A2545" s="3" t="inlineStr">
        <is>
          <t>KAD 28</t>
        </is>
      </c>
      <c r="B2545" s="2" t="inlineStr">
        <is>
          <t>Home KAD 28 fa asztaldísz, fenyő, LED neon-light szalag, melegfehér</t>
        </is>
      </c>
      <c r="C2545" s="1" t="n">
        <v>2590.0</v>
      </c>
      <c r="D2545" s="7" t="n">
        <f>HYPERLINK("https://www.somogyi.hu/product/home-kad-28-fa-asztaldisz-fenyo-led-neon-light-szalag-melegfeher-kad-28-16504","https://www.somogyi.hu/product/home-kad-28-fa-asztaldisz-fenyo-led-neon-light-szalag-melegfeher-kad-28-16504")</f>
        <v>0.0</v>
      </c>
      <c r="E2545" s="7" t="n">
        <f>HYPERLINK("https://www.somogyi.hu/data/img/product_main_images/small/16504.jpg","https://www.somogyi.hu/data/img/product_main_images/small/16504.jpg")</f>
        <v>0.0</v>
      </c>
      <c r="F2545" s="2" t="inlineStr">
        <is>
          <t>5999084945367</t>
        </is>
      </c>
      <c r="G2545" s="4" t="inlineStr">
        <is>
          <t>Szeretne egy kis melegséget csempészni otthonába a hideg téli napokon? A KAD 28 fenyő formájú fa asztaldísz, tökéletes választás erre a célra! A LED-es neon-light szalag melegfehér fényt áraszt, amely kellemes, barátságos atmoszférát teremt a szobában.
A dísz működéséhez 3 x 1,5 V (AA) elemre lesz szüksége, amelyek nem tartoznak a termékhez, így azokat külön kell beszereznie.
Tegye otthonát még melegebbé és barátságosabbá a KAD 28 fa asztaldísszel! Rendelje meg most, és élvezze a kellemes melegfehér fényt, amit ez a csodás fenyő alakú asztaldísz nyújt!</t>
        </is>
      </c>
    </row>
    <row r="2546">
      <c r="A2546" s="3" t="inlineStr">
        <is>
          <t>KAD 35</t>
        </is>
      </c>
      <c r="B2546" s="2" t="inlineStr">
        <is>
          <t>Home KAD 35 optikai szálas asztali dísz, festett fa, fehér fenyő, színes fénypontok</t>
        </is>
      </c>
      <c r="C2546" s="1" t="n">
        <v>10990.0</v>
      </c>
      <c r="D2546" s="7" t="n">
        <f>HYPERLINK("https://www.somogyi.hu/product/home-kad-35-optikai-szalas-asztali-disz-festett-fa-feher-fenyo-szines-fenypontok-kad-35-16508","https://www.somogyi.hu/product/home-kad-35-optikai-szalas-asztali-disz-festett-fa-feher-fenyo-szines-fenypontok-kad-35-16508")</f>
        <v>0.0</v>
      </c>
      <c r="E2546" s="7" t="n">
        <f>HYPERLINK("https://www.somogyi.hu/data/img/product_main_images/small/16508.jpg","https://www.somogyi.hu/data/img/product_main_images/small/16508.jpg")</f>
        <v>0.0</v>
      </c>
      <c r="F2546" s="2" t="inlineStr">
        <is>
          <t>5999084945404</t>
        </is>
      </c>
      <c r="G2546" s="4" t="inlineStr">
        <is>
          <t>Egy igazán egyedi és vidám díszt keres az ünnepi asztalra? A KAD 35 optikai szálas asztali dísz tökéletes választás minden otthonba!
A dísz egy kedves hóember figurát ábrázol egy fehér fenyőfában, és színes, villogó fénypontok díszítik, amelyek garantáltan feldobják a karácsonyi hangulatot. A tápellátásról 2 x 1,5 V (AA) elem gondoskodik, amelyeket külön kell megvásárolnia, mivel azok nem tartozékai a terméknek.
Varázsoljon vidám hangulatot otthonába a KAD 35 optikai szálas asztali dísszel! Rendelje meg még ma, és készüljön fel a vidám ünnepi pillanatokra!</t>
        </is>
      </c>
    </row>
    <row r="2547">
      <c r="A2547" s="3" t="inlineStr">
        <is>
          <t>KDCA 21</t>
        </is>
      </c>
      <c r="B2547" s="2" t="inlineStr">
        <is>
          <t>Home KDCA 21 LED-es kerámia piros mozdony figura, beltéri kivitel, 10 db LED</t>
        </is>
      </c>
      <c r="C2547" s="1" t="n">
        <v>5190.0</v>
      </c>
      <c r="D2547" s="7" t="n">
        <f>HYPERLINK("https://www.somogyi.hu/product/home-kdca-21-led-es-keramia-piros-mozdony-figura-belteri-kivitel-10-db-led-kdca-21-16567","https://www.somogyi.hu/product/home-kdca-21-led-es-keramia-piros-mozdony-figura-belteri-kivitel-10-db-led-kdca-21-16567")</f>
        <v>0.0</v>
      </c>
      <c r="E2547" s="7" t="n">
        <f>HYPERLINK("https://www.somogyi.hu/data/img/product_main_images/small/16567.jpg","https://www.somogyi.hu/data/img/product_main_images/small/16567.jpg")</f>
        <v>0.0</v>
      </c>
      <c r="F2547" s="2" t="inlineStr">
        <is>
          <t>5999084945992</t>
        </is>
      </c>
      <c r="G2547" s="4" t="inlineStr">
        <is>
          <t>Szeretné, ha egy bájos, ünnepi mozdony díszítené otthonát, amely meleg fénnyel világítja meg a téli estéket? A Home KDCA 21 LED-es kerámia piros mozdony figura kiváló választás, ha egy különleges karácsonyi dekorációra vágyik. 
Az aprólékosan kidolgozott, fenyővel díszített mozdony nemcsak látványos, hanem 10 darab melegfehér LED-del kellemes, meghitt fényt is áraszt. A figura autentikus karácsonyi hangulatot teremt, és tökéletesen illik bármilyen beltéri környezetbe. Ez a beltéri kivitelű dekoráció 2 darab 1,5 V-os AAA elemmel működik (nem tartozék), így egyszerűen elhelyezhető otthona bármely pontján – akár a polcon, asztalon vagy az ablakpárkányon. Kompakt mérete (20,5 x 21 x 8,5 cm) biztosítja, hogy könnyen megtalálja a helyét, miközben garantáltan a figyelem középpontjába kerül.
Varázsolja otthonába a karácsonyi mozdony meséjét ezzel a LED-es piros mozdony figurával, és tegye különlegessé az ünnepi dekorációját!</t>
        </is>
      </c>
    </row>
    <row r="2548">
      <c r="A2548" s="3" t="inlineStr">
        <is>
          <t>DRM 14</t>
        </is>
      </c>
      <c r="B2548" s="2" t="inlineStr">
        <is>
          <t>Home DRM 14 dioráma, kandalló, világító, Mikulás, beltéri</t>
        </is>
      </c>
      <c r="C2548" s="1" t="n">
        <v>13590.0</v>
      </c>
      <c r="D2548" s="7" t="n">
        <f>HYPERLINK("https://www.somogyi.hu/product/home-drm-14-diorama-kandallo-vilagito-mikulas-belteri-drm-14-17367","https://www.somogyi.hu/product/home-drm-14-diorama-kandallo-vilagito-mikulas-belteri-drm-14-17367")</f>
        <v>0.0</v>
      </c>
      <c r="E2548" s="7" t="n">
        <f>HYPERLINK("https://www.somogyi.hu/data/img/product_main_images/small/17367.jpg","https://www.somogyi.hu/data/img/product_main_images/small/17367.jpg")</f>
        <v>0.0</v>
      </c>
      <c r="F2548" s="2" t="inlineStr">
        <is>
          <t>5999084953898</t>
        </is>
      </c>
      <c r="G2548" s="4" t="inlineStr">
        <is>
          <t>Szeretne otthonát karácsonyi hangulatúvá varázsolni? A DRM 14 kandallóval ezt azonnal megteheti!
Beltéri kivitelű termékünk központi eleme egy kandalló, amely valósághű fényeffektekkel hozza el 
Önnek a meleg, otthonos atmoszférát. A kandalló mellett egy forgó karácsonyfa és a Mikulás teszi teljessé az ünnepi képet. 
Működtetéséhez 3 x 1,5 V (AA) elemre van szükség, amely nem része a készletnek.
Teremtsen igazi ünnepi hangulatot a DRM 14 dioráma segítségével!</t>
        </is>
      </c>
    </row>
    <row r="2549">
      <c r="A2549" s="3" t="inlineStr">
        <is>
          <t>KDD 54</t>
        </is>
      </c>
      <c r="B2549" s="2" t="inlineStr">
        <is>
          <t>Home KDD 54 manó dekoráció, 3 db villogó LED, szövet, plüss</t>
        </is>
      </c>
      <c r="C2549" s="1" t="n">
        <v>7990.0</v>
      </c>
      <c r="D2549" s="7" t="n">
        <f>HYPERLINK("https://www.somogyi.hu/product/home-kdd-54-mano-dekoracio-3-db-villogo-led-szovet-pluss-kdd-54-16557","https://www.somogyi.hu/product/home-kdd-54-mano-dekoracio-3-db-villogo-led-szovet-pluss-kdd-54-16557")</f>
        <v>0.0</v>
      </c>
      <c r="E2549" s="7" t="n">
        <f>HYPERLINK("https://www.somogyi.hu/data/img/product_main_images/small/16557.jpg","https://www.somogyi.hu/data/img/product_main_images/small/16557.jpg")</f>
        <v>0.0</v>
      </c>
      <c r="F2549" s="2" t="inlineStr">
        <is>
          <t>5999084945893</t>
        </is>
      </c>
      <c r="G2549" s="4" t="inlineStr">
        <is>
          <t>A Mikulás főállású segítői idén az Ön otthonába is beköltöznek, ha még nem tették volna! Pár éve menő a manó, sapkás barátaink garantáltan vidámságot csempésznek az ünnepekbe! KDD 54-es manónk szürke fejfedője akkora, hogy épp csak az orra hegye és hosszú ezüst szakálla látszik ki alóla! Manónk 54 cm magas, így garantáltan nem veszik el a lakás többi dísze között!</t>
        </is>
      </c>
    </row>
    <row r="2550">
      <c r="A2550" s="3" t="inlineStr">
        <is>
          <t>KDC 25</t>
        </is>
      </c>
      <c r="B2550" s="2" t="inlineStr">
        <is>
          <t>Home KDC 25 ülő kislány pingvinnel kerámia-plüss dekoráció, 1 db melegfehér LED</t>
        </is>
      </c>
      <c r="C2550" s="1" t="n">
        <v>14490.0</v>
      </c>
      <c r="D2550" s="7" t="n">
        <f>HYPERLINK("https://www.somogyi.hu/product/home-kdc-25-ulo-kislany-pingvinnel-keramia-pluss-dekoracio-1-db-melegfeher-led-kdc-25-16993","https://www.somogyi.hu/product/home-kdc-25-ulo-kislany-pingvinnel-keramia-pluss-dekoracio-1-db-melegfeher-led-kdc-25-16993")</f>
        <v>0.0</v>
      </c>
      <c r="E2550" s="7" t="n">
        <f>HYPERLINK("https://www.somogyi.hu/data/img/product_main_images/small/16993.jpg","https://www.somogyi.hu/data/img/product_main_images/small/16993.jpg")</f>
        <v>0.0</v>
      </c>
      <c r="F2550" s="2" t="inlineStr">
        <is>
          <t>5999084950255</t>
        </is>
      </c>
      <c r="G2550" s="4" t="inlineStr">
        <is>
          <t>Egy olyan ünnepi díszt keres, amely azonnal megragadja a figyelmet, és melegséget hoz bármely szobába? A Home KDC 25 ülő kislány pingvinnel kerámia-plüss dekoráció tökéletes választás, ha egy kedves és meghitt téli jelenettel szeretné feldobni otthonát.
Ez a különleges beltéri dekoráció egy ülő kislányt ábrázol, aki egy cuki kis pingvin mellett pihen, miközben egy akril fenyő világítja meg a jelenetet. A melegfehér LED gondoskodik a kellemes, ünnepi fényről, amely minden szobában barátságos hangulatot teremt. A dekoráció mérete 24,5 x 61 x 22,5 cm, így igazán figyelemfelkeltő darabként elhelyezhető az asztalon, polcon vagy akár a karácsonyfa mellett. A tápellátás 3 darab 1,5 V-os AA elemmel történik (nem tartozék), így szabadon elhelyezheti anélkül, hogy konnektortól függne.
Tegye otthonát különlegessé ezzel a bájos kislány és pingvin dekorációval – rendelje meg most, és élvezze a meleg, ünnepi hangulatot minden nap!</t>
        </is>
      </c>
    </row>
    <row r="2551">
      <c r="A2551" s="3" t="inlineStr">
        <is>
          <t>KDC 29</t>
        </is>
      </c>
      <c r="B2551" s="2" t="inlineStr">
        <is>
          <t>Home KDC 29 LED-es hóember kerámia figura, 12 db LED</t>
        </is>
      </c>
      <c r="C2551" s="1" t="n">
        <v>12190.0</v>
      </c>
      <c r="D2551" s="7" t="n">
        <f>HYPERLINK("https://www.somogyi.hu/product/home-kdc-29-led-es-hoember-keramia-figura-12-db-led-kdc-29-16997","https://www.somogyi.hu/product/home-kdc-29-led-es-hoember-keramia-figura-12-db-led-kdc-29-16997")</f>
        <v>0.0</v>
      </c>
      <c r="E2551" s="7" t="n">
        <f>HYPERLINK("https://www.somogyi.hu/data/img/product_main_images/small/16997.jpg","https://www.somogyi.hu/data/img/product_main_images/small/16997.jpg")</f>
        <v>0.0</v>
      </c>
      <c r="F2551" s="2" t="inlineStr">
        <is>
          <t>5999084950293</t>
        </is>
      </c>
      <c r="G2551" s="4" t="inlineStr">
        <is>
          <t>Gondolkodott már azon, hogyan varázsolhatna igazi ünnepi hangulatot lakásába? A Home KDC 29 LED-es hóember kerámia figura ideális választás, ha egyedi, mégis meghitt fényforrást szeretne hozzáadni karácsonyi dekorációjához. 
A figura 12 darab melegfehér LED-del van felszerelve, amelyek lágy, barátságos fényt árasztanak, így biztosítva a tökéletes ünnepi atmoszférát. Ráadásul a kerámia alapanyag aprólékosan kidolgozott részletei még szebbé és élethűbbé teszik a hóembert, egy igazán különleges darabbá varázsolva azt. A figura tápellátása egyszerű, mindössze három 1,5 V-os AA elem szükséges hozzá (nem tartozék), így könnyedén elhelyezheti bárhol a lakásban anélkül, hogy konnektorra lenne szüksége. Kompakt, mégis impozáns méreteinek köszönhetően (41 x 56,7 x 21,5 cm) könnyen megtalálja helyét a nappaliban, előszobában vagy akár a teraszon is, garantálva, hogy bárhol is helyezi el, azonnal a figyelem középpontjába kerül.
Vigye haza a téli varázslatot, és teremtse meg az ünnepi hangulatot ezzel az egyedülálló LED-es hóember figurával!</t>
        </is>
      </c>
    </row>
    <row r="2552">
      <c r="A2552" s="3" t="inlineStr">
        <is>
          <t>KDC 17</t>
        </is>
      </c>
      <c r="B2552" s="2" t="inlineStr">
        <is>
          <t>Home KDC 17 LED-es kerámia rénszarvas asztali dísz, 4 db LED</t>
        </is>
      </c>
      <c r="C2552" s="1" t="n">
        <v>1690.0</v>
      </c>
      <c r="D2552" s="7" t="n">
        <f>HYPERLINK("https://www.somogyi.hu/product/home-kdc-17-led-es-keramia-renszarvas-asztali-disz-4-db-led-kdc-17-16043","https://www.somogyi.hu/product/home-kdc-17-led-es-keramia-renszarvas-asztali-disz-4-db-led-kdc-17-16043")</f>
        <v>0.0</v>
      </c>
      <c r="E2552" s="7" t="n">
        <f>HYPERLINK("https://www.somogyi.hu/data/img/product_main_images/small/16043.jpg","https://www.somogyi.hu/data/img/product_main_images/small/16043.jpg")</f>
        <v>0.0</v>
      </c>
      <c r="F2552" s="2" t="inlineStr">
        <is>
          <t>5999084940751</t>
        </is>
      </c>
      <c r="G2552" s="4" t="inlineStr">
        <is>
          <t>Szeretne egy különleges asztali díszt, amely meleg fénnyel árasztja el a szobát, és az ünnepek alatt központi elem lehet? A Home KDC 17 LED-es kerámia rénszarvas asztali dísz tökéletes választás, ha egyedi, beltéri világítással szeretné feldobni otthonát.
Ez a bájos kerámia rénszarvas négy darab melegfehér LED-del van felszerelve, amelyek apró, világító gömbökként díszítik a figurát, lágy, meghitt fényt árasztva. A dísz kompakt mérete (9 x 17 x 5 cm) lehetővé teszi, hogy bárhol elhelyezze: tökéletes asztaldísz, polcra vagy ablakpárkányra helyezve is. A tápellátás 2 db 1,5 V-os LR44 gombelemmel történik, melyeket a csomag tartalmaz, így a dísz azonnal használatra kész.
Varázsoljon meghitt ünnepi hangulatot otthonába ezzel a LED-es rénszarvas asztali dísszel – rendeljen most, és tegye különlegessé az ünnepeket!</t>
        </is>
      </c>
    </row>
    <row r="2553">
      <c r="A2553" s="3" t="inlineStr">
        <is>
          <t>KT 250/BL</t>
        </is>
      </c>
      <c r="B2553" s="2" t="inlineStr">
        <is>
          <t>Home KT 250/BL karácsonyfa takaró, kék alap, ezüst csillagok, fleece, beltéri</t>
        </is>
      </c>
      <c r="C2553" s="1" t="n">
        <v>719.0</v>
      </c>
      <c r="D2553" s="7" t="n">
        <f>HYPERLINK("https://www.somogyi.hu/product/home-kt-250-bl-karacsonyfa-takaro-kek-alap-ezust-csillagok-fleece-belteri-kt-250-bl-9951","https://www.somogyi.hu/product/home-kt-250-bl-karacsonyfa-takaro-kek-alap-ezust-csillagok-fleece-belteri-kt-250-bl-9951")</f>
        <v>0.0</v>
      </c>
      <c r="E2553" s="7" t="n">
        <f>HYPERLINK("https://www.somogyi.hu/data/img/product_main_images/small/09951.jpg","https://www.somogyi.hu/data/img/product_main_images/small/09951.jpg")</f>
        <v>0.0</v>
      </c>
      <c r="F2553" s="2" t="inlineStr">
        <is>
          <t>5998312786673</t>
        </is>
      </c>
      <c r="G2553" s="4" t="inlineStr">
        <is>
          <t>Hogyan biztosíthat tökéletes ünnepi hangulatot a karácsonyfa körül, miközben megőrzi a tisztaságot is? A Home KT 250/BL karácsonyfa takaró nem csupán praktikus, hanem esztétikus kiegészítője is lehet otthonának az ünnepek idején. 
Ez a beltéri kivitelű, kék alapon ezüstszürke csillagokkal díszített fleece anyagú takaró stílusosan öleli körül a karácsonyfát, miközben harmonikusan illeszkedik a karácsonyi dekoráció többi eleméhez. A csillagmintás dizájn varázslatos hangulatot áraszt, amely teljessé teszi az ünnepi atmoszférát, legyen szó akár egy családi összejövetelről, akár egy meghitt, csendes estén.
A takaró nem csupán díszítő elem, hanem sokoldalú megoldást nyújt a karácsonyfa körüli rend megőrzésére is. Élő fenyőfa esetén összegyűjti a lepotyogó tűleveleket, ezzel segítve a tisztaság fenntartását a fa alatt. A fleece alapanyag puha és könnyű, ugyanakkor strapabíró, így hosszú távon is használható. Ha elérkezik az ünnepek vége, a takaró nemcsak a karácsonyfa aljának védelmére szolgál, hanem abban is segít, hogy a fát könnyedén becsomagolja és elszállítsa vagy tárolja, függetlenül attól, hogy műfenyőről vagy élő fáról van szó.
Ez a karácsonyfa takaró 250 cm magas fák alá is tökéletesen illeszkedik, így ideális választás akár kisebb, akár nagyobb méretű fákhoz. A nem szőtt fleece anyag különösen kedvelt az egyszerű kezelhetősége miatt: könnyen felhelyezhető, tisztítható és tárolható, így gondtalan megoldást kínál az ünnepi időszakra és utána is.
Válassza a Home KT 250/BL karácsonyfa takarót, és teremtsen rendezett, varázslatos környezetet a fa körül, amely nemcsak szépséget, de praktikumot is nyújt!</t>
        </is>
      </c>
    </row>
    <row r="2554">
      <c r="A2554" s="3" t="inlineStr">
        <is>
          <t>KID 66</t>
        </is>
      </c>
      <c r="B2554" s="2" t="inlineStr">
        <is>
          <t>Home KID 66 hóember gömb, 1 db LED, piros, villogó</t>
        </is>
      </c>
      <c r="C2554" s="1" t="n">
        <v>1550.0</v>
      </c>
      <c r="D2554" s="7" t="n">
        <f>HYPERLINK("https://www.somogyi.hu/product/home-kid-66-hoember-gomb-1-db-led-piros-villogo-kid-66-16015","https://www.somogyi.hu/product/home-kid-66-hoember-gomb-1-db-led-piros-villogo-kid-66-16015")</f>
        <v>0.0</v>
      </c>
      <c r="E2554" s="7" t="n">
        <f>HYPERLINK("https://www.somogyi.hu/data/img/product_main_images/small/16015.jpg","https://www.somogyi.hu/data/img/product_main_images/small/16015.jpg")</f>
        <v>0.0</v>
      </c>
      <c r="F2554" s="2" t="inlineStr">
        <is>
          <t>5999084940478</t>
        </is>
      </c>
      <c r="G2554" s="4" t="inlineStr">
        <is>
          <t>Szeretne egy vidám és figyelemfelkeltő karácsonyi díszt, ami garantáltan mosolyt csal mindenki arcára? A Home KID 66 hóember gömb tökéletes választás! 
Ez a bájos kis dekoráció egy villogó piros LED-del van felszerelve, amely feldobja az ünnepi hangulatot. Az 6,5 cm átmérőjű hóember gömb tökéletes kiegészítője bármilyen karácsonyi dekorációnak. A termék tápellátását 3 db LR44 elem biztosítja (tartozék), így azonnal használatba vehető, és bármikor újabb fényhatást varázsolhat otthonába. A praktikus kialakítás és az egyszerű működés miatt könnyedén kombinálható más dekorációkkal is, és vidám villogásával garantáltan feldobja az ünnepi atmoszférát.
Szerezze be ezt a vidám hóember gömböt, és tegye még különlegesebbé otthonát az ünnepek alatt!</t>
        </is>
      </c>
    </row>
    <row r="2555">
      <c r="A2555" s="3" t="inlineStr">
        <is>
          <t>KDC 48</t>
        </is>
      </c>
      <c r="B2555" s="2" t="inlineStr">
        <is>
          <t>Home KDC 48 LED-es kerámia Mikulás figura, LED világítás</t>
        </is>
      </c>
      <c r="C2555" s="1" t="n">
        <v>17290.0</v>
      </c>
      <c r="D2555" s="7" t="n">
        <f>HYPERLINK("https://www.somogyi.hu/product/home-kdc-48-led-es-keramia-mikulas-figura-led-vilagitas-kdc-48-17010","https://www.somogyi.hu/product/home-kdc-48-led-es-keramia-mikulas-figura-led-vilagitas-kdc-48-17010")</f>
        <v>0.0</v>
      </c>
      <c r="E2555" s="7" t="n">
        <f>HYPERLINK("https://www.somogyi.hu/data/img/product_main_images/small/17010.jpg","https://www.somogyi.hu/data/img/product_main_images/small/17010.jpg")</f>
        <v>0.0</v>
      </c>
      <c r="F2555" s="2" t="inlineStr">
        <is>
          <t>5999084950422</t>
        </is>
      </c>
      <c r="G2555" s="4" t="inlineStr">
        <is>
          <t>Egy igazán különleges karácsonyi díszt keres, amely egyedi hangulatot teremt az otthonában? A Home KDC 48 LED-es kerámia Mikulás figura tökéletes választás. A figura nem csupán látványos, hanem melegfehér LED világítással is rendelkezik, amely finoman megvilágítja a „Merry Christmas” felirat részleteit. 
Ez a meghitt fény még inkább kiemeli a karácsony varázsát és a kedves, ünnepi üzenetet, amit a dekoráció közvetít. A Mikulás figura működéséhez három darab 1,5 V-os AA elem szükséges (nem tartozék), így könnyedén elhelyezheti otthona bármely pontján, vezetékkorlátozás nélkül. A 34 x 66 x 17 cm-es méretű figura elegáns dísze lehet a nappalinak, előszobának vagy akár az ünnepi asztalnak is. A kerámia alapanyag garantálja a tartósságot és a minőséget, miközben a részletgazdag kidolgozás autentikus karácsonyi hangulatot kölcsönöz.
Hozza el otthonába a Mikulás varázsát ezzel a LED-es kerámia figurával, és tegye még emlékezetesebbé az ünnepeket!</t>
        </is>
      </c>
    </row>
    <row r="2556">
      <c r="A2556" s="3" t="inlineStr">
        <is>
          <t>DRM 16</t>
        </is>
      </c>
      <c r="B2556" s="2" t="inlineStr">
        <is>
          <t>Home DRM 16 dioráma, fehér ház, LED, fenyőfa, beltéri</t>
        </is>
      </c>
      <c r="C2556" s="1" t="n">
        <v>32790.0</v>
      </c>
      <c r="D2556" s="7" t="n">
        <f>HYPERLINK("https://www.somogyi.hu/product/home-drm-16-diorama-feher-haz-led-fenyofa-belteri-drm-16-17369","https://www.somogyi.hu/product/home-drm-16-diorama-feher-haz-led-fenyofa-belteri-drm-16-17369")</f>
        <v>0.0</v>
      </c>
      <c r="E2556" s="7" t="n">
        <f>HYPERLINK("https://www.somogyi.hu/data/img/product_main_images/small/17369.jpg","https://www.somogyi.hu/data/img/product_main_images/small/17369.jpg")</f>
        <v>0.0</v>
      </c>
      <c r="F2556" s="2" t="inlineStr">
        <is>
          <t>5999084953911</t>
        </is>
      </c>
      <c r="G2556" s="4" t="inlineStr">
        <is>
          <t>Szeretne egy igazán különleges dekorációt, amely azonnal megidézi az ünnepi hangulatot? A DRM 16 Dioráma a tökéletes választás!
Ez a csodálatos fehér ház beltéri kivitelben készült, bármely szobájában pompázhat. A fehér LED világítás finoman emeli ki a házikó részleteit, míg a forgó fenyőfa varázslatosan életre kelti környezetét. A tápellátást a tartozék beltéri hálózati adapter biztosítja.
Ne hagyja ki ezt az egyedülálló lehetőséget! A DRM 16 Dioráma ünnepi köntösbe öltözteti otthonát!</t>
        </is>
      </c>
    </row>
    <row r="2557">
      <c r="A2557" s="3" t="inlineStr">
        <is>
          <t>NEON 1</t>
        </is>
      </c>
      <c r="B2557" s="2" t="inlineStr">
        <is>
          <t>Home NEON 1 hullócsillag figura, LED-es neon fény, két oldalú, fém váz, IP44, kültéri, beltéri, jégkék</t>
        </is>
      </c>
      <c r="C2557" s="1" t="n">
        <v>9590.0</v>
      </c>
      <c r="D2557" s="7" t="n">
        <f>HYPERLINK("https://www.somogyi.hu/product/home-neon-1-hullocsillag-figura-led-es-neon-feny-ket-oldalu-fem-vaz-ip44-kulteri-belteri-jegkek-neon-1-17740","https://www.somogyi.hu/product/home-neon-1-hullocsillag-figura-led-es-neon-feny-ket-oldalu-fem-vaz-ip44-kulteri-belteri-jegkek-neon-1-17740")</f>
        <v>0.0</v>
      </c>
      <c r="E2557" s="7" t="n">
        <f>HYPERLINK("https://www.somogyi.hu/data/img/product_main_images/small/17740.jpg","https://www.somogyi.hu/data/img/product_main_images/small/17740.jpg")</f>
        <v>0.0</v>
      </c>
      <c r="F2557" s="2" t="inlineStr">
        <is>
          <t>5999084957629</t>
        </is>
      </c>
      <c r="G2557" s="4" t="inlineStr">
        <is>
          <t>Egyedi fényvarázs az égen és otthonában - Ismerje meg a NEON 1 LED-es hullócsillag figurát! 
Mindenki szereti a csillagok ragyogását az éjszakai égen. Miért ne hozhatná el ezt a csodálatos látványt otthonába egy lenyűgöző LED-es figura segítségével? 
A NEON 1 jégkék fénye látványosan világít, ráadásul mindkét oldalán, így tökéletesen megmutatja szépségét, bárhonnan is nézzük. Legyen az belső tér vagy kültér, ez a figura bármilyen környezetben lenyűgöző látványt teremt. A fém váz biztosítja a tartósságot és stabilitást, hogy hosszú éveken keresztül örömöt okozhasson. 
Az IP44-es kültéri csatlakozódugó és a fekete gumivezeték pedig lehetővé teszi, hogy bátran használja akár kültéren is anélkül, hogy aggódnia kellene az időjárási viszonyok miatt. 
Ne habozzon, tegye egyedivé otthona díszítését a NEON 1 LED-es hullócsillag figurával! Alkosson varázslatos hangulatot, és teremtsen egy különleges atmoszférát, amely mindenkit lenyűgöz!</t>
        </is>
      </c>
    </row>
    <row r="2558">
      <c r="A2558" s="3" t="inlineStr">
        <is>
          <t>KID 65</t>
        </is>
      </c>
      <c r="B2558" s="2" t="inlineStr">
        <is>
          <t>Home KID 65 hóember gömb, 1 db LED, piros, villogó</t>
        </is>
      </c>
      <c r="C2558" s="1" t="n">
        <v>1550.0</v>
      </c>
      <c r="D2558" s="7" t="n">
        <f>HYPERLINK("https://www.somogyi.hu/product/home-kid-65-hoember-gomb-1-db-led-piros-villogo-kid-65-16014","https://www.somogyi.hu/product/home-kid-65-hoember-gomb-1-db-led-piros-villogo-kid-65-16014")</f>
        <v>0.0</v>
      </c>
      <c r="E2558" s="7" t="n">
        <f>HYPERLINK("https://www.somogyi.hu/data/img/product_main_images/small/16014.jpg","https://www.somogyi.hu/data/img/product_main_images/small/16014.jpg")</f>
        <v>0.0</v>
      </c>
      <c r="F2558" s="2" t="inlineStr">
        <is>
          <t>5999084940461</t>
        </is>
      </c>
      <c r="G2558" s="4" t="inlineStr">
        <is>
          <t>Szeretne egy vidám és figyelemfelkeltő karácsonyi díszt, ami garantáltan mosolyt csal mindenki arcára? A Home KID 65 hóember gömb tökéletes választás! 
Ez a bájos kis dekoráció egy villogó piros LED-del van felszerelve, amely feldobja az ünnepi hangulatot. Az 6,5 cm átmérőjű hóember gömb tökéletes kiegészítője bármilyen karácsonyi dekorációnak. A termék tápellátását 3 db LR44 elem biztosítja (tartozék), így azonnal használatba vehető, és bármikor újabb fényhatást varázsolhat otthonába. A praktikus kialakítás és az egyszerű működés miatt könnyedén kombinálható más dekorációkkal is, és vidám villogásával garantáltan feldobja az ünnepi atmoszférát.
Szerezze be ezt a vidám hóember gömböt, és tegye még különlegesebbé otthonát az ünnepek alatt!</t>
        </is>
      </c>
    </row>
    <row r="2559">
      <c r="A2559" s="3" t="inlineStr">
        <is>
          <t>KLB 120/SL</t>
        </is>
      </c>
      <c r="B2559" s="2" t="inlineStr">
        <is>
          <t>Home KLB 120/SL világító ágak, 40 db LED, 120 cm ágak, ezüst színű, ismétlődő időzítés, beltéri</t>
        </is>
      </c>
      <c r="C2559" s="1" t="n">
        <v>9190.0</v>
      </c>
      <c r="D2559" s="7" t="n">
        <f>HYPERLINK("https://www.somogyi.hu/product/home-klb-120-sl-vilagito-agak-40-db-led-120-cm-agak-ezust-szinu-ismetlodo-idozites-belteri-klb-120-sl-17728","https://www.somogyi.hu/product/home-klb-120-sl-vilagito-agak-40-db-led-120-cm-agak-ezust-szinu-ismetlodo-idozites-belteri-klb-120-sl-17728")</f>
        <v>0.0</v>
      </c>
      <c r="E2559" s="7" t="n">
        <f>HYPERLINK("https://www.somogyi.hu/data/img/product_main_images/small/17728.jpg","https://www.somogyi.hu/data/img/product_main_images/small/17728.jpg")</f>
        <v>0.0</v>
      </c>
      <c r="F2559" s="2" t="inlineStr">
        <is>
          <t>5999084957506</t>
        </is>
      </c>
      <c r="G2559" s="4" t="inlineStr">
        <is>
          <t>Varázsoljon egyedi hangulatot otthonába a KLB 120/SL világító ágaival! 
120 cm hosszú, elegáns ezüst ágakkal és 40 melegfehér LED-el díszítve, ez a kiegészítő tökéletes választás belső terek megvilágításához. 
Az ismétlődő időzítési lehetőség segítségével könnyedén szabályozhatja a világítást. 
A mellékelt zsákvászon és zsinór megkönnyíti az elemtartó diszkrét elhelyezését. A tápellátásért felelős 3 x 1,5V (AA) elem nem tartozék. 
Tegye hangulatossá és egyedivé otthonát a KLB 120/SL világító ágakkal, és élvezze a meghitt fényeket minden pillanatban!</t>
        </is>
      </c>
    </row>
    <row r="2560">
      <c r="A2560" s="3" t="inlineStr">
        <is>
          <t>KLB 120/WH</t>
        </is>
      </c>
      <c r="B2560" s="2" t="inlineStr">
        <is>
          <t>Home KLB 120/WH világító ágak,  40 db LED, 120 cm ágak, fehér színű, ismétlődő időzítés, beltéri</t>
        </is>
      </c>
      <c r="C2560" s="1" t="n">
        <v>9190.0</v>
      </c>
      <c r="D2560" s="7" t="n">
        <f>HYPERLINK("https://www.somogyi.hu/product/home-klb-120-wh-vilagito-agak-40-db-led-120-cm-agak-feher-szinu-ismetlodo-idozites-belteri-klb-120-wh-17729","https://www.somogyi.hu/product/home-klb-120-wh-vilagito-agak-40-db-led-120-cm-agak-feher-szinu-ismetlodo-idozites-belteri-klb-120-wh-17729")</f>
        <v>0.0</v>
      </c>
      <c r="E2560" s="7" t="n">
        <f>HYPERLINK("https://www.somogyi.hu/data/img/product_main_images/small/17729.jpg","https://www.somogyi.hu/data/img/product_main_images/small/17729.jpg")</f>
        <v>0.0</v>
      </c>
      <c r="F2560" s="2" t="inlineStr">
        <is>
          <t>5999084957513</t>
        </is>
      </c>
      <c r="G2560" s="4" t="inlineStr">
        <is>
          <t>Varázsoljon egyedi hangulatot otthonába a KLB 120/WH világító ágaival! 
120 cm hosszú, elegáns fehér ágakkal és 40 melegfehér LED-el díszítve, ez a kiegészítő tökéletes választás belső terek megvilágításához. 
Az ismétlődő időzítési lehetőség segítségével könnyedén szabályozhatja a világítást. 
A mellékelt zsákvászon és zsinór megkönnyíti az elemtartó diszkrét elhelyezését. A tápellátásért felelős 3 x 1,5V (AA) elem nem tartozék. 
Tegye hangulatossá és egyedivé otthonát a KLB 120/WH világító ágakkal, és élvezze a meghitt fényeket minden pillanatban!</t>
        </is>
      </c>
    </row>
    <row r="2561">
      <c r="A2561" s="3" t="inlineStr">
        <is>
          <t>KDC 02</t>
        </is>
      </c>
      <c r="B2561" s="2" t="inlineStr">
        <is>
          <t>Home KDC 02 téli LED-es házikó, fehér, 12 féle forma, polyresin, beltéri</t>
        </is>
      </c>
      <c r="C2561" s="1" t="n">
        <v>1750.0</v>
      </c>
      <c r="D2561" s="7" t="n">
        <f>HYPERLINK("https://www.somogyi.hu/product/home-kdc-02-teli-led-es-haziko-feher-12-fele-forma-polyresin-belteri-kdc-02-18129","https://www.somogyi.hu/product/home-kdc-02-teli-led-es-haziko-feher-12-fele-forma-polyresin-belteri-kdc-02-18129")</f>
        <v>0.0</v>
      </c>
      <c r="E2561" s="7" t="n">
        <f>HYPERLINK("https://www.somogyi.hu/data/img/product_main_images/small/18129.jpg","https://www.somogyi.hu/data/img/product_main_images/small/18129.jpg")</f>
        <v>0.0</v>
      </c>
      <c r="F2561" s="2" t="inlineStr">
        <is>
          <t>5999084961510</t>
        </is>
      </c>
      <c r="G2561" s="4" t="inlineStr">
        <is>
          <t>Szeretne egy olyan dekorációt, amely meghitt, téli hangulatot teremt otthonában? A Home KDC 02 téli LED-es házikó tökéletes választás, ha szeretné feldobni belső tereit egy bájos, világító dekorációval, amely bármely helyiség éke lehet az ünnepi időszakban.
Ez a beltéri kivitelű, 12-féle fehér színben elérhető házikó polyresin alapanyagból készült, ami tartós és aprólékos kidolgozást biztosít. A LED-es házikó finoman megvilágítja a környezetét, így ideális kiegészítője lehet asztalnak, polcnak vagy ablakpárkánynak. A világítás egyszerűen be- és kikapcsolható, így Ön könnyedén szabályozhatja a fényt. A termékhez 2 darab 1,5 V-os (LR44) gombelem tartozik, így azonnal használatra kész. A házikó mérete 7 x 10 x 6 cm, így diszkréten elhelyezhető a lakás különböző pontjain. Egy display 12 különböző, fehér LED-es házikót tartalmaz, így változatos megjelenéssel díszítheti otthonát.
Varázsoljon meghitt téli hangulatot otthonába ezzel a LED-es házikóval – rendelje meg most, és tegye ünnepivé bármely helyiség hangulatát!</t>
        </is>
      </c>
    </row>
    <row r="2562">
      <c r="A2562" s="3" t="inlineStr">
        <is>
          <t>NEON 2</t>
        </is>
      </c>
      <c r="B2562" s="2" t="inlineStr">
        <is>
          <t>Home NEON 2 hókristály figura, LED-es neon fény, két oldalú, fém váz, IP44, kültéri, beltéri, jégkék</t>
        </is>
      </c>
      <c r="C2562" s="1" t="n">
        <v>16190.0</v>
      </c>
      <c r="D2562" s="7" t="n">
        <f>HYPERLINK("https://www.somogyi.hu/product/home-neon-2-hokristaly-figura-led-es-neon-feny-ket-oldalu-fem-vaz-ip44-kulteri-belteri-jegkek-neon-2-17741","https://www.somogyi.hu/product/home-neon-2-hokristaly-figura-led-es-neon-feny-ket-oldalu-fem-vaz-ip44-kulteri-belteri-jegkek-neon-2-17741")</f>
        <v>0.0</v>
      </c>
      <c r="E2562" s="7" t="n">
        <f>HYPERLINK("https://www.somogyi.hu/data/img/product_main_images/small/17741.jpg","https://www.somogyi.hu/data/img/product_main_images/small/17741.jpg")</f>
        <v>0.0</v>
      </c>
      <c r="F2562" s="2" t="inlineStr">
        <is>
          <t>5999084957636</t>
        </is>
      </c>
      <c r="G2562" s="4" t="inlineStr">
        <is>
          <t>Egyedi fényvarázs az égen és otthonában - Ismerje meg a NEON 2 LED-es hókristály figurát! 
Mindenki szereti a hópelyhek ragyogó csillogását, ahogy a nap átsüt rajtuk mikor a földre hullanak. Miért ne hozhatná el ezt a csodálatos látványt otthonába egy lenyűgöző LED-es figura segítségével? 
A NEON 2 jégkék fénye látványosan világít, ráadásul mindkét oldalán, így tökéletesen megmutatja szépségét, bárhonnan is nézzük. Legyen az belső tér vagy kültér, ez a figura bármilyen környezetben lenyűgöző látványt teremt. A fém váz biztosítja a tartósságot és stabilitást, hogy hosszú éveken keresztül örömöt okozhasson. 
Az IP44-es kültéri csatlakozódugó és a fekete gumivezeték pedig lehetővé teszi, hogy bátran használja akár kültéren is anélkül, hogy aggódnia kellene az időjárási viszonyok miatt. 
Ne habozzon, tegye egyedivé otthona díszítését a NEON 2 LED-es hókristály Figurával! Alkosson varázslatos hangulatot, és teremtsen egy különleges atmoszférát, amely mindenkit lenyűgöz!</t>
        </is>
      </c>
    </row>
    <row r="2563">
      <c r="A2563" s="3" t="inlineStr">
        <is>
          <t>NEON 3</t>
        </is>
      </c>
      <c r="B2563" s="2" t="inlineStr">
        <is>
          <t>Home NEON 3 csillag figura, LED-es neon fény, villogó funkció, két oldalú, fém váz, IP44, kültéri, beltéri, jégkék, napsárga</t>
        </is>
      </c>
      <c r="C2563" s="1" t="n">
        <v>12990.0</v>
      </c>
      <c r="D2563" s="7" t="n">
        <f>HYPERLINK("https://www.somogyi.hu/product/home-neon-3-csillag-figura-led-es-neon-feny-villogo-funkcio-ket-oldalu-fem-vaz-ip44-kulteri-belteri-jegkek-napsarga-neon-3-17742","https://www.somogyi.hu/product/home-neon-3-csillag-figura-led-es-neon-feny-villogo-funkcio-ket-oldalu-fem-vaz-ip44-kulteri-belteri-jegkek-napsarga-neon-3-17742")</f>
        <v>0.0</v>
      </c>
      <c r="E2563" s="7" t="n">
        <f>HYPERLINK("https://www.somogyi.hu/data/img/product_main_images/small/17742.jpg","https://www.somogyi.hu/data/img/product_main_images/small/17742.jpg")</f>
        <v>0.0</v>
      </c>
      <c r="F2563" s="2" t="inlineStr">
        <is>
          <t>5999084957643</t>
        </is>
      </c>
      <c r="G2563" s="4" t="inlineStr">
        <is>
          <t>Egyedi fényvarázs az égen és otthonában - Ismerje meg a NEON 3 LED-es csillag figurát! 
Mindenki szereti a csillagok ragyogását az éjszakai égen. Miért ne hozhatná el ezt a csodálatos látványt otthonába egy lenyűgöző LED-es figura segítségével? 
A NEON 3 jégkék és napsárga fénye látványosan világít vagy akár villog, ráadásul mindkét oldalán, így tökéletesen megmutatja szépségét, bárhonnan is nézzük. Legyen az belső tér vagy kültér, ez a figura bármilyen környezetben lenyűgöző látványt teremt. A fém váz biztosítja a tartósságot és stabilitást, hogy hosszú éveken keresztül örömöt okozhasson. 
Az IP44-es kültéri csatlakozódugó és a fekete gumivezeték pedig lehetővé teszi, hogy bátran használja akár kültéren is anélkül, hogy aggódnia kellene az időjárási viszonyok miatt. 
Ne habozzon, tegye egyedivé otthona díszítését a NEON 3 LED-es csillag figurával! Alkosson varázslatos hangulatot, és teremtsen egy különleges atmoszférát, amely mindenkit lenyűgöz!</t>
        </is>
      </c>
    </row>
    <row r="2564">
      <c r="A2564" s="3" t="inlineStr">
        <is>
          <t>ROPE 1</t>
        </is>
      </c>
      <c r="B2564" s="2" t="inlineStr">
        <is>
          <t>Home ROPE 1 szarvas figura, borostyánszínű LED, fém váz, talpra hajtható, IP44, kültéri, beltéri</t>
        </is>
      </c>
      <c r="C2564" s="1" t="n">
        <v>31390.0</v>
      </c>
      <c r="D2564" s="7" t="n">
        <f>HYPERLINK("https://www.somogyi.hu/product/home-rope-1-szarvas-figura-borostyanszinu-led-fem-vaz-talpra-hajthato-ip44-kulteri-belteri-rope-1-17744","https://www.somogyi.hu/product/home-rope-1-szarvas-figura-borostyanszinu-led-fem-vaz-talpra-hajthato-ip44-kulteri-belteri-rope-1-17744")</f>
        <v>0.0</v>
      </c>
      <c r="E2564" s="7" t="n">
        <f>HYPERLINK("https://www.somogyi.hu/data/img/product_main_images/small/17744.jpg","https://www.somogyi.hu/data/img/product_main_images/small/17744.jpg")</f>
        <v>0.0</v>
      </c>
      <c r="F2564" s="2" t="inlineStr">
        <is>
          <t>5999084957667</t>
        </is>
      </c>
      <c r="G2564" s="4" t="inlineStr">
        <is>
          <t>Hogyan varázsolhatja el otthonát vagy kertjét egyedi fényekkel? 
A ROPE 1 LED-es 3D szarvas figura erre tökéletes megoldás. Ez az elegáns, borostyánszínű LED-es világító csövekből készült figura mindkét oldalon varázslatos fényekkel világítja meg környezetét, egyedi és meghitt hangulatot teremtve. 
A ROPE 1 szarvasfigura nemcsak gyönyörű, hanem praktikus is. Könnyen szétszedhető és lapra hajtható, így jól tárolható és szállítható. Fém vázának köszönhetően stabil és strapabíró, bátran kint hagyhatja kertjében is. Ez a LED-es világítás energiatakarékos, telepítése gyors és egyszerű. 
Kültéri IP44-es csatlakozódugóval és fekete gumivezetékkel rendelkezik, mely ellenáll az időjárás viszontagságainak. 
Rendelje meg most a ROPE 1 LED-es 3D szarvas figurát, és adja meg otthonának vagy kertjének a meghittséget!</t>
        </is>
      </c>
    </row>
    <row r="2565">
      <c r="A2565" s="3" t="inlineStr">
        <is>
          <t>DRM 15</t>
        </is>
      </c>
      <c r="B2565" s="2" t="inlineStr">
        <is>
          <t>Home DRM 15 dioráma, havas ház, színes LED, rénszarvasszán, beltéri</t>
        </is>
      </c>
      <c r="C2565" s="1" t="n">
        <v>19490.0</v>
      </c>
      <c r="D2565" s="7" t="n">
        <f>HYPERLINK("https://www.somogyi.hu/product/home-drm-15-diorama-havas-haz-szines-led-renszarvasszan-belteri-drm-15-17368","https://www.somogyi.hu/product/home-drm-15-diorama-havas-haz-szines-led-renszarvasszan-belteri-drm-15-17368")</f>
        <v>0.0</v>
      </c>
      <c r="E2565" s="7" t="n">
        <f>HYPERLINK("https://www.somogyi.hu/data/img/product_main_images/small/17368.jpg","https://www.somogyi.hu/data/img/product_main_images/small/17368.jpg")</f>
        <v>0.0</v>
      </c>
      <c r="F2565" s="2" t="inlineStr">
        <is>
          <t>5999084953904</t>
        </is>
      </c>
      <c r="G2565" s="4" t="inlineStr">
        <is>
          <t>Szeretne egy igazán különleges dekorációt, amely azonnal megidézi az ünnepi hangulatot? A DRM 15 Dioráma a tökéletes választás!
A termék beltéri kivitelben készült, így bármely szobájában pompázhat. A fehér LED világítás finoman emeli ki a házikó részleteit, míg a körbejáró rénszarvasszán varázslatosan életre kelti környezetét. A tápellátást 3 x 1,5 V (AA) elem biztosítja, melyek nem tartoznak a csomaghoz.
Ne hagyja ki ezt az egyedülálló lehetőséget! A DRM 15 Dioráma ünnepi köntösbe öltözteti otthonát!</t>
        </is>
      </c>
    </row>
    <row r="2566">
      <c r="A2566" s="3" t="inlineStr">
        <is>
          <t>KDC 14</t>
        </is>
      </c>
      <c r="B2566" s="2" t="inlineStr">
        <is>
          <t>LED-es kerámia asztali dísz, kisfiú</t>
        </is>
      </c>
      <c r="C2566" s="1" t="n">
        <v>1650.0</v>
      </c>
      <c r="D2566" s="7" t="n">
        <f>HYPERLINK("https://www.somogyi.hu/product/led-es-keramia-asztali-disz-kisfiu-kdc-14-16040","https://www.somogyi.hu/product/led-es-keramia-asztali-disz-kisfiu-kdc-14-16040")</f>
        <v>0.0</v>
      </c>
      <c r="E2566" s="7" t="n">
        <f>HYPERLINK("https://www.somogyi.hu/data/img/product_main_images/small/16040.jpg","https://www.somogyi.hu/data/img/product_main_images/small/16040.jpg")</f>
        <v>0.0</v>
      </c>
      <c r="F2566" s="2" t="inlineStr">
        <is>
          <t>5999084940720</t>
        </is>
      </c>
      <c r="G2566" s="4" t="inlineStr">
        <is>
          <t>Ha Ön is szeretné feldíszíteni karácsonyi asztalát, válassza KDC 14 LED-es kerámia asztali díszünket, mely egy kisfiút ábrázol. Kezében világító EVA gömböt tart, melynek fényét 1 db melegfehér LED adja. Válassza a minőségi termékeket és rendeljen webáruházunkból!</t>
        </is>
      </c>
    </row>
    <row r="2567">
      <c r="A2567" s="3" t="inlineStr">
        <is>
          <t>KDC 28</t>
        </is>
      </c>
      <c r="B2567" s="2" t="inlineStr">
        <is>
          <t>Home KDC 28 ülő figura kerámia-plüss dekoráció, EVA gömb, 1 db LED</t>
        </is>
      </c>
      <c r="C2567" s="1" t="n">
        <v>2390.0</v>
      </c>
      <c r="D2567" s="7" t="n">
        <f>HYPERLINK("https://www.somogyi.hu/product/home-kdc-28-ulo-figura-keramia-pluss-dekoracio-eva-gomb-1-db-led-kdc-28-16996","https://www.somogyi.hu/product/home-kdc-28-ulo-figura-keramia-pluss-dekoracio-eva-gomb-1-db-led-kdc-28-16996")</f>
        <v>0.0</v>
      </c>
      <c r="E2567" s="7" t="n">
        <f>HYPERLINK("https://www.somogyi.hu/data/img/product_main_images/small/16996.jpg","https://www.somogyi.hu/data/img/product_main_images/small/16996.jpg")</f>
        <v>0.0</v>
      </c>
      <c r="F2567" s="2" t="inlineStr">
        <is>
          <t>5999084950286</t>
        </is>
      </c>
      <c r="G2567" s="4" t="inlineStr">
        <is>
          <t>Szeretne egy különleges dekorációt, amely nemcsak dísz, hanem lágy fényével hangulatot is teremt? A Home KDC 28 ülő figura kerámia-plüss dekoráció tökéletes választás, ha meghitt fényekkel szeretné otthonát díszíteni az ünnepi időszakban.
Ez a bájos ülő figura világító EVA gömbbel van felszerelve, amelyben egy melegfehér LED gondoskodik a kellemes, nyugtató fényről. A figura részletgazdag kidolgozással készült kerámia alaptesttel és puha plüss elemekkel, így nemcsak elegáns, de barátságos hangulatot is áraszt. Kompakt mérete (10 x 10 x 10,5 cm) miatt könnyen elhelyezhető asztalon, polcon vagy ablakpárkányon. A dísz működéséhez 2 darab 1,5 V-os (LR44) elem szükséges, amelyeket a csomag tartalmaz, így azonnal használatra kész.
Hozza el otthonába a meghittség fényét ezzel a kedves, világító dekorációval – rendelje meg most, és tegye ünnepivé bármely helyiség hangulatát!</t>
        </is>
      </c>
    </row>
    <row r="2568">
      <c r="A2568" s="3" t="inlineStr">
        <is>
          <t>KID 24</t>
        </is>
      </c>
      <c r="B2568" s="2" t="inlineStr">
        <is>
          <t xml:space="preserve">Home KID 24 ajtódísz, optikai szálak, fenyőfa, festett dekoráció </t>
        </is>
      </c>
      <c r="C2568" s="1" t="n">
        <v>11890.0</v>
      </c>
      <c r="D2568" s="7" t="n">
        <f>HYPERLINK("https://www.somogyi.hu/product/home-kid-24-ajtodisz-optikai-szalak-fenyofa-festett-dekoracio-kid-24-16509","https://www.somogyi.hu/product/home-kid-24-ajtodisz-optikai-szalak-fenyofa-festett-dekoracio-kid-24-16509")</f>
        <v>0.0</v>
      </c>
      <c r="E2568" s="7" t="n">
        <f>HYPERLINK("https://www.somogyi.hu/data/img/product_main_images/small/16509.jpg","https://www.somogyi.hu/data/img/product_main_images/small/16509.jpg")</f>
        <v>0.0</v>
      </c>
      <c r="F2568" s="2" t="inlineStr">
        <is>
          <t>5999084945411</t>
        </is>
      </c>
      <c r="G2568" s="4" t="inlineStr">
        <is>
          <t>Szeretne egy karácsonyi hangulatot árasztó dekorációt, amely nem csak nappal, de éjszaka is elvarázsolja otthonát? A KID 24 optikai szálas fenyő tökéletes választás!
Ez a festett fa dekoráció színes, villogó fénypontokkal van díszítve, és azonnal ünnepi hangulatot teremt bárhol, ahol elhelyezi. A felakasztható kivitelnek köszönhetően egyszerűen elhelyezhető az ablakban, a falon vagy az ajtón. A tápellátás 2 x 1,5 V (AA) elemmel biztosított, amelyek nem tartoznak a csomaghoz.
Díszítse otthonát a KID 24 fenyővel, ami mindenkit megörvendeztet! Adjon egy kis plusz ragyogást az ünnepi időszakhoz még ma!</t>
        </is>
      </c>
    </row>
    <row r="2569">
      <c r="A2569" s="3" t="inlineStr">
        <is>
          <t>KDR 1</t>
        </is>
      </c>
      <c r="B2569" s="2" t="inlineStr">
        <is>
          <t>Home KDR 1 LED-es szarvas, rudolf, 100 db állófényű LED, IP44, fémváz, műrattan, kültéri, beltéri</t>
        </is>
      </c>
      <c r="C2569" s="1" t="n">
        <v>51090.0</v>
      </c>
      <c r="D2569" s="7" t="n">
        <f>HYPERLINK("https://www.somogyi.hu/product/home-kdr-1-led-es-szarvas-rudolf-100-db-allofenyu-led-ip44-femvaz-murattan-kulteri-belteri-kdr-1-18127","https://www.somogyi.hu/product/home-kdr-1-led-es-szarvas-rudolf-100-db-allofenyu-led-ip44-femvaz-murattan-kulteri-belteri-kdr-1-18127")</f>
        <v>0.0</v>
      </c>
      <c r="E2569" s="7" t="n">
        <f>HYPERLINK("https://www.somogyi.hu/data/img/product_main_images/small/18127.jpg","https://www.somogyi.hu/data/img/product_main_images/small/18127.jpg")</f>
        <v>0.0</v>
      </c>
      <c r="F2569" s="2" t="inlineStr">
        <is>
          <t>5999084961497</t>
        </is>
      </c>
      <c r="G2569" s="4" t="inlineStr">
        <is>
          <t>Varázsoljon ünnepi hangulatot otthonába a KDR 1 nevű LED-es szarvassal, Rudolffal! 
Ez a bájos dekoráció tökéletes választás mind beltéri, mind kültéri felhasználásra, hogy egyedi és varázslatos légkört teremtsen az ünnepi időszakban. A szarvas fémvázzal és műrattan alapanyaggal készül, amely tartósságot és esztétikumot egyesít. A 100 db melegfehér, állófényű LED világítás különleges fényjátékot nyújt, amely hihetetlenül varázslatossá teszi az ünnepi dekorációt. 
Az átlátszó vezeték és a kültéri IP44-es hálózati adapter lehetővé teszi, hogy a szarvast bátran helyezze el kertjében vagy teraszán, hogy még hangulatosabbá tegye környezetét. 
Ne hagyja ki ezt a lehetőséget, hogy boldogságot csempésszen otthonába a KDR 1 nevű LED-es szarvas segítségével, és tegye felejthetetlenné az ünnepi időszakot!</t>
        </is>
      </c>
    </row>
    <row r="2570">
      <c r="A2570" s="3" t="inlineStr">
        <is>
          <t>TRN02</t>
        </is>
      </c>
      <c r="B2570" s="2" t="inlineStr">
        <is>
          <t>Home TRN02 kisvasút készlet, beltéri kivitel, sárga LED fénnyel, 1 mozdony + 2 vagon, kör alakú vasúti pálya</t>
        </is>
      </c>
      <c r="C2570" s="1" t="n">
        <v>28990.0</v>
      </c>
      <c r="D2570" s="7" t="n">
        <f>HYPERLINK("https://www.somogyi.hu/product/home-trn02-kisvasut-keszlet-belteri-kivitel-sarga-led-fennyel-1-mozdony-2-vagon-kor-alaku-vasuti-palya-trn02-18591","https://www.somogyi.hu/product/home-trn02-kisvasut-keszlet-belteri-kivitel-sarga-led-fennyel-1-mozdony-2-vagon-kor-alaku-vasuti-palya-trn02-18591")</f>
        <v>0.0</v>
      </c>
      <c r="E2570" s="7" t="n">
        <f>HYPERLINK("https://www.somogyi.hu/data/img/product_main_images/small/18591.jpg","https://www.somogyi.hu/data/img/product_main_images/small/18591.jpg")</f>
        <v>0.0</v>
      </c>
      <c r="F2570" s="2" t="inlineStr">
        <is>
          <t>5999084966096</t>
        </is>
      </c>
      <c r="G2570" s="4" t="inlineStr">
        <is>
          <t>Egy varázslatos kisvasút készletet keres, amely szórakozást és örömet nyújt az egész családnak? Fedezze fel a Home TRN02 kisvasút készletet, amely beltéri használatra készült, és sárga LED fényekkel világítja meg a pályát. 
A mozdony zenével vagy zene nélkül is működtethető, így személyre szabhatja az élményt. A készlet tartalmaz egy mozdonyt és két vagont, amelyek együtt egy kör alakú vasúti pályán futnak.
A 137 cm átmérőjű kör alakú pálya lehetővé teszi, hogy a kisvonat könnyedén körbe-körbe haladjon, miközben a sárga LED fények varázslatos hangulatot teremtenek. A mozdony mérete 23x16,5x12 cm, míg az első kocsi 13x16,5x10 cm, a második kocsi pedig 13x16x10 cm, így tökéletesen illeszkednek egymáshoz és a pályához. A készlet működéséhez 4 db 1,5 V (AA) elem szükséges, amelyeket külön kell beszerezni.
Ne hagyja ki ezt a fantasztikus kisvasút készletet! Rendelje meg a Home TRN02 kisvasút készletet még ma, és hozza el az ünnepi hangulatot otthonába!</t>
        </is>
      </c>
    </row>
    <row r="2571">
      <c r="A2571" s="3" t="inlineStr">
        <is>
          <t>KDD 41</t>
        </is>
      </c>
      <c r="B2571" s="2" t="inlineStr">
        <is>
          <t>Home KDD 41 manó dekoráció, 3 db villogó LED, szövet, plüss</t>
        </is>
      </c>
      <c r="C2571" s="1" t="n">
        <v>6090.0</v>
      </c>
      <c r="D2571" s="7" t="n">
        <f>HYPERLINK("https://www.somogyi.hu/product/home-kdd-41-mano-dekoracio-3-db-villogo-led-szovet-pluss-kdd-41-16558","https://www.somogyi.hu/product/home-kdd-41-mano-dekoracio-3-db-villogo-led-szovet-pluss-kdd-41-16558")</f>
        <v>0.0</v>
      </c>
      <c r="E2571" s="7" t="n">
        <f>HYPERLINK("https://www.somogyi.hu/data/img/product_main_images/small/16558.jpg","https://www.somogyi.hu/data/img/product_main_images/small/16558.jpg")</f>
        <v>0.0</v>
      </c>
      <c r="F2571" s="2" t="inlineStr">
        <is>
          <t>5999084945909</t>
        </is>
      </c>
      <c r="G2571" s="4" t="inlineStr">
        <is>
          <t>Képzelje el, hogy egy kedves, világító manó díszíti otthonát, amely meleg fénnyel ragyogja be a téli estéket! A Home KDD 41 manó dekoráció három villogó, melegfehér LED-del rendelkezik, így igazán meghitt és ünnepi hangulatot teremt. 
A manó szövetből és plüssből készült, ezért puha tapintású, és kiváló kiegészítője bármely beltéri karácsonyi dekorációnak. Vidám megjelenése minden korosztály kedvence lehet, és garantáltan mosolyt csal az arcokra. A dekoráció 2 darab 3 V-os CR2032 elemmel működik (tartozék), így azonnal használatba vehető, és bárhol elhelyezhető otthonában, ahol egy kis extra fényt és ünnepi varázslatot szeretne. A 31 x 41 x 18 cm méretű manó remekül mutat az ablakpárkányon, polcon vagy akár az ünnepi asztalon is.
Ne maradjon le erről a bájos manóról, és hozza el otthonába a karácsony igazi szellemét ezzel a világító dekorációval!</t>
        </is>
      </c>
    </row>
    <row r="2572">
      <c r="A2572" s="3" t="inlineStr">
        <is>
          <t>KAD26</t>
        </is>
      </c>
      <c r="B2572" s="2" t="inlineStr">
        <is>
          <t>Home KAD26 karácsonyi falu asztali dísz, beltéri kivitel, 12 db melegfehér LED, lézerrel kivágott fa motívumok</t>
        </is>
      </c>
      <c r="C2572" s="1" t="n">
        <v>7290.0</v>
      </c>
      <c r="D2572" s="7" t="n">
        <f>HYPERLINK("https://www.somogyi.hu/product/home-kad26-karacsonyi-falu-asztali-disz-belteri-kivitel-12-db-melegfeher-led-lezerrel-kivagott-fa-motivumok-kad26-18594","https://www.somogyi.hu/product/home-kad26-karacsonyi-falu-asztali-disz-belteri-kivitel-12-db-melegfeher-led-lezerrel-kivagott-fa-motivumok-kad26-18594")</f>
        <v>0.0</v>
      </c>
      <c r="E2572" s="7" t="n">
        <f>HYPERLINK("https://www.somogyi.hu/data/img/product_main_images/small/18594.jpg","https://www.somogyi.hu/data/img/product_main_images/small/18594.jpg")</f>
        <v>0.0</v>
      </c>
      <c r="F2572" s="2" t="inlineStr">
        <is>
          <t>5999084966126</t>
        </is>
      </c>
      <c r="G2572" s="4" t="inlineStr">
        <is>
          <t>Szeretne egy olyan ünnepi díszt, amely azonnal meghitt karácsonyi hangulatot teremt? A Home KAD26 karácsonyi falu asztali dísz tökéletes választás, ha otthona belső terét különleges, meleg fényű karácsonyi dekorációval szeretné feldobni.
Ez a beltéri kivitelű asztali dísz egy gyönyörűen kidolgozott karácsonyi falu motívumot ábrázol, amelyet lézerrel kivágott, aprólékosan megmunkált fa elemek díszítenek. A falu melegfehér LED-ekkel világít, amelyek állandó fényt biztosítanak, így az ünnepi hangulat mindig jelen lesz. Összesen 12 LED gondoskodik a hangulatos világításról, amely egyszerűen be- és kikapcsolható. A termék 2 db 1,5 V-os AA elemmel működik (nem tartozék), így bárhol elhelyezhető a lakásban, anélkül, hogy konnektortól kellene függenie.
Tegye otthonát még meghittebbé ezzel a lenyűgöző, világító karácsonyi faluval – rendelje meg most, és varázsoljon ünnepi hangulatot minden helyiségbe!</t>
        </is>
      </c>
    </row>
    <row r="2573">
      <c r="A2573" s="3" t="inlineStr">
        <is>
          <t>GLG 13/RD</t>
        </is>
      </c>
      <c r="B2573" s="2" t="inlineStr">
        <is>
          <t>Home GLG 13/RD LED-es figurás üveggömb, piros, beltéri kivitel, 13cm átmérő, 1 db színváltó LED</t>
        </is>
      </c>
      <c r="C2573" s="1" t="n">
        <v>3190.0</v>
      </c>
      <c r="D2573" s="7" t="n">
        <f>HYPERLINK("https://www.somogyi.hu/product/home-glg-13-rd-led-es-figuras-uveggomb-piros-belteri-kivitel-13cm-atmero-1-db-szinvalto-led-glg-13-rd-15609","https://www.somogyi.hu/product/home-glg-13-rd-led-es-figuras-uveggomb-piros-belteri-kivitel-13cm-atmero-1-db-szinvalto-led-glg-13-rd-15609")</f>
        <v>0.0</v>
      </c>
      <c r="E2573" s="7" t="n">
        <f>HYPERLINK("https://www.somogyi.hu/data/img/product_main_images/small/15609.jpg","https://www.somogyi.hu/data/img/product_main_images/small/15609.jpg")</f>
        <v>0.0</v>
      </c>
      <c r="F2573" s="2" t="inlineStr">
        <is>
          <t>5999084936433</t>
        </is>
      </c>
      <c r="G2573" s="4" t="inlineStr">
        <is>
          <t>Egy különleges díszt keres, amely azonnal meghitt ünnepi hangulatot teremt? A Home GLG 13/RD LED-es figurás üveggömb tökéletes választás, ha otthona belső tereit egyedi, színváltós fényekkel és bájos hóember figurával szeretné feldobni.
Ez a 13 cm átmérőjű üveggömb gyönyörű hóember figurával rendelkezik, amely az ünnepi szezon klasszikus szimbóluma. A gömb belsejében egy színváltó LED található, amely folyamatosan változó fényjátékával még varázslatosabbá teszi a dísz megjelenését. A termék beltéri használatra készült, és bárhol elhelyezhető, legyen az egy asztal, polc vagy ablakpárkány. A működéshez 3 db 1,5 V-os LR44 gombelem szükséges, amelyek a csomagban megtalálhatók, így az üveggömb azonnal használatra kész.
Adjon ünnepi ragyogást otthonának ezzel a gyönyörű, színváltós üveggömbbel – rendelje meg most, és élvezze a hóember figurával díszített fényeket minden nap!</t>
        </is>
      </c>
    </row>
    <row r="2574">
      <c r="A2574" s="3" t="inlineStr">
        <is>
          <t>KDD44</t>
        </is>
      </c>
      <c r="B2574" s="2" t="inlineStr">
        <is>
          <t>Home KDD44 LED-es lógó lábú manó, beltéri kivitel, melegfehér LED világítással, be/ki kapcsolóval, elemes tápellátás</t>
        </is>
      </c>
      <c r="C2574" s="1" t="n">
        <v>3390.0</v>
      </c>
      <c r="D2574" s="7" t="n">
        <f>HYPERLINK("https://www.somogyi.hu/product/home-kdd44-led-es-logo-labu-mano-belteri-kivitel-melegfeher-led-vilagitassal-be-ki-kapcsoloval-elemes-tapellatas-kdd44-18601","https://www.somogyi.hu/product/home-kdd44-led-es-logo-labu-mano-belteri-kivitel-melegfeher-led-vilagitassal-be-ki-kapcsoloval-elemes-tapellatas-kdd44-18601")</f>
        <v>0.0</v>
      </c>
      <c r="E2574" s="7" t="n">
        <f>HYPERLINK("https://www.somogyi.hu/data/img/product_main_images/small/18601.jpg","https://www.somogyi.hu/data/img/product_main_images/small/18601.jpg")</f>
        <v>0.0</v>
      </c>
      <c r="F2574" s="2" t="inlineStr">
        <is>
          <t>5999084966195</t>
        </is>
      </c>
      <c r="G2574" s="4" t="inlineStr">
        <is>
          <t>Egy olyan dekorációt keres, amely feldobja otthonát és vidám hangulatot áraszt? A Home KDD44 LED-es lógó lábú manó beltéri kivitele és melegfehér LED világítása azonnal kellemes, ünnepi légkört teremt. 
Vidám megjelenésével és lógó lábaival ez a manó igazán különleges dekoráció, amely bármelyik polcra vagy ablakpárkányra helyezve barátságos kiegészítője lesz otthonának. A be/ki kapcsolóval egyszerűen kezelhető, így mindig kényelmesen szabályozhatja a világítást. A manó tápellátása 2 darab 1,5V-os AA elemmel működik (nem tartozék), ami teljes mozgási szabadságot ad, így bárhol elhelyezheti, anélkül, hogy a vezetékek korlátoznák. Kompakt méretének köszönhetően (10 x 14 x 44 cm) bármilyen helyiségbe tökéletesen illik, legyen az nappali, hálószoba vagy akár az előszoba.
Ne hagyja ki ezt a vidám és bájos dekorációt – díszítse otthonát a Home KDD44 LED-es lógó lábú manóval, és varázsoljon ünnepi hangulatot minden nap!</t>
        </is>
      </c>
    </row>
    <row r="2575">
      <c r="A2575" s="3" t="inlineStr">
        <is>
          <t>KDD28</t>
        </is>
      </c>
      <c r="B2575" s="2" t="inlineStr">
        <is>
          <t>Home KDD28 LED-es manó fej, beltéri kivitel, melegfehér LED világítással, be/ki kapcsolóval, elemes tápellátás</t>
        </is>
      </c>
      <c r="C2575" s="1" t="n">
        <v>2890.0</v>
      </c>
      <c r="D2575" s="7" t="n">
        <f>HYPERLINK("https://www.somogyi.hu/product/home-kdd28-led-es-mano-fej-belteri-kivitel-melegfeher-led-vilagitassal-be-ki-kapcsoloval-elemes-tapellatas-kdd28-18603","https://www.somogyi.hu/product/home-kdd28-led-es-mano-fej-belteri-kivitel-melegfeher-led-vilagitassal-be-ki-kapcsoloval-elemes-tapellatas-kdd28-18603")</f>
        <v>0.0</v>
      </c>
      <c r="E2575" s="7" t="n">
        <f>HYPERLINK("https://www.somogyi.hu/data/img/product_main_images/small/18603.jpg","https://www.somogyi.hu/data/img/product_main_images/small/18603.jpg")</f>
        <v>0.0</v>
      </c>
      <c r="F2575" s="2" t="inlineStr">
        <is>
          <t>5999084966218</t>
        </is>
      </c>
      <c r="G2575" s="4" t="inlineStr">
        <is>
          <t>Hogyan tehetné különlegesebbé otthonát egy egyszerű, mégis varázslatos dekoráció? Ez a beltéri kivitelű Home KDD28 LED-es manó fej melegfehér LED világítással ideális választás minden otthonba, amely egy kis ünnepi hangulatra vágyik. 
A LED világítás puha, meleg fénye kellemes, nyugtató légkört teremt, miközben a vidám manó dizájn garantáltan mosolyt csal az arcokra. A praktikus be/ki kapcsolóval egyszerűen kezelhető, így könnyedén ki- és bekapcsolhatja, amikor szüksége van rá. A termék tápellátása 2 darab 1,5V-os AA elemmel működik (nem tartozék), így nem kell aggódnia a vezetékek miatt, és bárhová helyezheti a lakásban. Kompakt mérete (10 x 10 x 28 cm) lehetővé teszi, hogy szinte bármilyen polcra, ablakpárkányra vagy asztalra elhelyezze, így egyedi díszítést biztosít anélkül, hogy túl sok helyet foglalna.
Tegye különlegessé otthonát még ma a Home KDD28 LED-es manó fej segítségével, és varázsoljon meghitt hangulatot minden helyiségbe!</t>
        </is>
      </c>
    </row>
    <row r="2576">
      <c r="A2576" s="3" t="inlineStr">
        <is>
          <t>KDD40</t>
        </is>
      </c>
      <c r="B2576" s="2" t="inlineStr">
        <is>
          <t>Home KDD40 LED-es ülő manó, beltéri kivitel, melegfehér LED világítással, ismétlődő időzítés, elemes kivitel</t>
        </is>
      </c>
      <c r="C2576" s="1" t="n">
        <v>5390.0</v>
      </c>
      <c r="D2576" s="7" t="n">
        <f>HYPERLINK("https://www.somogyi.hu/product/home-kdd40-led-es-ulo-mano-belteri-kivitel-melegfeher-led-vilagitassal-ismetlodo-idozites-elemes-kivitel-kdd40-18605","https://www.somogyi.hu/product/home-kdd40-led-es-ulo-mano-belteri-kivitel-melegfeher-led-vilagitassal-ismetlodo-idozites-elemes-kivitel-kdd40-18605")</f>
        <v>0.0</v>
      </c>
      <c r="E2576" s="7" t="n">
        <f>HYPERLINK("https://www.somogyi.hu/data/img/product_main_images/small/18605.jpg","https://www.somogyi.hu/data/img/product_main_images/small/18605.jpg")</f>
        <v>0.0</v>
      </c>
      <c r="F2576" s="2" t="inlineStr">
        <is>
          <t>5999084966232</t>
        </is>
      </c>
      <c r="G2576" s="4" t="inlineStr">
        <is>
          <t>Szeretné, ha otthonában egy bájos dekoráció ragyogná be a hideg téli estéket? A Home KDD40 LED-es ülő manó tökéletes választás minden beltéri helyiség hangulatának feldobására. 
A melegfehér LED világítás nyugtató, meghitt fényt áraszt, amely azonnal kellemes atmoszférát teremt a szobában. 
A termék tápellátását 3 darab 1,5V-os AA elem biztosítja (nem tartozék), amely szabad mozgathatóságot és vezetékmentes használatot tesz lehetővé. A 20 x 20 x 40 cm-es méretű ülő manó minden helyiségben mutatós, akár a nappaliban, akár a hálószobában helyezi el.
Fedezze fel a Home KDD40 LED-es ülő manó báját, és varázsolja meghittebbé otthonát azonnal!</t>
        </is>
      </c>
    </row>
    <row r="2577">
      <c r="A2577" s="3" t="inlineStr">
        <is>
          <t>KDC 15/T</t>
        </is>
      </c>
      <c r="B2577" s="2" t="inlineStr">
        <is>
          <t>Home KDC 15/T LED-es kerámia fenyőfa asztali dísz, 5 db LED</t>
        </is>
      </c>
      <c r="C2577" s="1" t="n">
        <v>1450.0</v>
      </c>
      <c r="D2577" s="7" t="n">
        <f>HYPERLINK("https://www.somogyi.hu/product/home-kdc-15-t-led-es-keramia-fenyofa-asztali-disz-5-db-led-kdc-15-t-16045","https://www.somogyi.hu/product/home-kdc-15-t-led-es-keramia-fenyofa-asztali-disz-5-db-led-kdc-15-t-16045")</f>
        <v>0.0</v>
      </c>
      <c r="E2577" s="7" t="n">
        <f>HYPERLINK("https://www.somogyi.hu/data/img/product_main_images/small/16045.jpg","https://www.somogyi.hu/data/img/product_main_images/small/16045.jpg")</f>
        <v>0.0</v>
      </c>
      <c r="F2577" s="2" t="inlineStr">
        <is>
          <t>5999084940775</t>
        </is>
      </c>
      <c r="G2577" s="4" t="inlineStr">
        <is>
          <t>Szeretné, hogy otthona az ünnepek alatt meleg, fénylő díszben ragyogjon? A Home KDC 15/T LED-es kerámia fenyőfa asztali dísz tökéletes választás, ha elegáns és hangulatos dekorációval szeretné díszíteni a belső tereket.
Ez a beltéri kivitelű, kerámiából készült fenyőfa öt darab melegfehér LED-del világít, amelyek apró, ragyogó gömbök formájában díszítik a fát. A LED-ek kellemes, meleg fényt sugároznak, amely azonnal meghitt hangulatot teremt a szobában. A dísz mérete (9 x 15 x 5 cm) tökéletesen illeszkedik kisebb helyekre, legyen az egy polc, asztal vagy ablakpárkány. A tápellátást 2 db 1,5 V-os LR44 gombelem biztosítja, melyeket a csomag tartalmaz, így azonnal használatra kész.
Tegye különlegessé otthonát ezzel a világító, kerámia fenyőfával – rendeljen most, és élvezze a meleg, ünnepi fényt minden nap!</t>
        </is>
      </c>
    </row>
    <row r="2578">
      <c r="A2578" s="3" t="inlineStr">
        <is>
          <t>KAD 20 STAR</t>
        </is>
      </c>
      <c r="B2578" s="2" t="inlineStr">
        <is>
          <t>Home KAD 20 STAR csillag asztaldísz, 20 db LED, ABS műanyag, 25 x 39 cm</t>
        </is>
      </c>
      <c r="C2578" s="1" t="n">
        <v>4590.0</v>
      </c>
      <c r="D2578" s="7" t="n">
        <f>HYPERLINK("https://www.somogyi.hu/product/home-kad-20-star-csillag-asztaldisz-20-db-led-abs-muanyag-25-x-39-cm-kad-20-star-14868","https://www.somogyi.hu/product/home-kad-20-star-csillag-asztaldisz-20-db-led-abs-muanyag-25-x-39-cm-kad-20-star-14868")</f>
        <v>0.0</v>
      </c>
      <c r="E2578" s="7" t="n">
        <f>HYPERLINK("https://www.somogyi.hu/data/img/product_main_images/small/14868.jpg","https://www.somogyi.hu/data/img/product_main_images/small/14868.jpg")</f>
        <v>0.0</v>
      </c>
      <c r="F2578" s="2" t="inlineStr">
        <is>
          <t>5999084929053</t>
        </is>
      </c>
      <c r="G2578" s="4" t="inlineStr">
        <is>
          <t>Szeretné az ünnepi asztalt valami igazán különlegessé varázsolni? A KAD 20 STAR LED-es csillag asztaldísz remek lehetőség erre! Az asztaldíszben 20 db melegfehér LED található, ami garantáltan meleg, otthonos atmoszférát teremt az ünnepek alatt.
Az alapanyaga ABS műanyag, amely tartós és hosszú élettartamú, így évekig kiszolgálja majd Önt és családját. A termék tápellátása 3 x 1,5 V (AA) elemmel történik, melyek nem tartoznak a csomaghoz, azokat külön kell beszerezni.
Változtassa meg otthona hangulatát a KAD 20 STAR LED-es csillag asztaldísszel, és élvezze annak meleg, barátságos fényeit!</t>
        </is>
      </c>
    </row>
    <row r="2579">
      <c r="A2579" s="3" t="inlineStr">
        <is>
          <t>CDY3LED</t>
        </is>
      </c>
      <c r="B2579" s="2" t="inlineStr">
        <is>
          <t>Home CDY3LED világító cukorbot szett, kül- és beltéri kivitel, 3 db cukorbot vezetékkel összekötve, cukorbotonként 5 db melegfehér LED</t>
        </is>
      </c>
      <c r="C2579" s="1" t="n">
        <v>4990.0</v>
      </c>
      <c r="D2579" s="7" t="n">
        <f>HYPERLINK("https://www.somogyi.hu/product/home-cdy3led-vilagito-cukorbot-szett-kul-es-belteri-kivitel-3-db-cukorbot-vezetekkel-osszekotve-cukorbotonkent-5-db-melegfeher-led-cdy3led-18585","https://www.somogyi.hu/product/home-cdy3led-vilagito-cukorbot-szett-kul-es-belteri-kivitel-3-db-cukorbot-vezetekkel-osszekotve-cukorbotonkent-5-db-melegfeher-led-cdy3led-18585")</f>
        <v>0.0</v>
      </c>
      <c r="E2579" s="7" t="n">
        <f>HYPERLINK("https://www.somogyi.hu/data/img/product_main_images/small/18585.jpg","https://www.somogyi.hu/data/img/product_main_images/small/18585.jpg")</f>
        <v>0.0</v>
      </c>
      <c r="F2579" s="2" t="inlineStr">
        <is>
          <t>5999084966034</t>
        </is>
      </c>
      <c r="G2579" s="4" t="inlineStr">
        <is>
          <t>Szeretné feldobni otthonát egy varázslatos, ünnepi dekorációval, amely beltérben és kültéren is használható? Ismerje meg a Home CDY3LED világító cukorbot szettet, amely három cukorbotból áll, és vezetékkel van összekötve. 
Minden egyes cukorbot öt melegfehér LED-del világít, így kellemes, ünnepi fényt varázsol otthonába vagy kertjébe. A cukorbotok műanyagból készültek, így tartósak és könnyűek, valamint IP44 védelemmel rendelkeznek, ami biztosítja a kültéri használatot is.
A világítási mód állandó, a beépített 6 órás be- és 18 órás kikapcsolási időzítő pedig kényelmes és energiatakarékos működést tesz lehetővé. A szett tápellátását 3 db 1,5V (AA) elem biztosítja, melyek nem tartozékok. A cukorbotok teljes magassága 47 cm, a leszúrótüske aljáig, míg maguk a cukorbotok 35 cm magasak. A karók közötti távolság 50 cm, és a tápkábel is 50 cm hosszú, így könnyedén elhelyezheti őket bárhol.
Ne hagyja ki ezt a varázslatos dekorációt! Rendelje meg a Home CDY3LED világító cukorbot szettet még ma, és hozza el az ünnepi fényt otthonába vagy kertjébe!</t>
        </is>
      </c>
    </row>
    <row r="2580">
      <c r="A2580" s="3" t="inlineStr">
        <is>
          <t>GLE 20/WW</t>
        </is>
      </c>
      <c r="B2580" s="2" t="inlineStr">
        <is>
          <t>Home GLE 20/WW, EVA gömb dekoráció, rugalmas alapanyag, 2 db LED, 20 cm átmérő</t>
        </is>
      </c>
      <c r="C2580" s="1" t="n">
        <v>7190.0</v>
      </c>
      <c r="D2580" s="7" t="n">
        <f>HYPERLINK("https://www.somogyi.hu/product/home-gle-20-ww-eva-gomb-dekoracio-rugalmas-alapanyag-2-db-led-20-cm-atmero-gle-20-ww-14730","https://www.somogyi.hu/product/home-gle-20-ww-eva-gomb-dekoracio-rugalmas-alapanyag-2-db-led-20-cm-atmero-gle-20-ww-14730")</f>
        <v>0.0</v>
      </c>
      <c r="E2580" s="7" t="n">
        <f>HYPERLINK("https://www.somogyi.hu/data/img/product_main_images/small/14730.jpg","https://www.somogyi.hu/data/img/product_main_images/small/14730.jpg")</f>
        <v>0.0</v>
      </c>
      <c r="F2580" s="2" t="inlineStr">
        <is>
          <t>5999084927721</t>
        </is>
      </c>
      <c r="G2580" s="4" t="inlineStr">
        <is>
          <t>Egy elegáns, de egyszerű dekorációt keres, amely otthonában vagy irodájában bármilyen alkalomra illik? A GLE 20/WW EVA gömb dekoráció kiváló választás lehet. 
A termék rugalmas EVA alapanyagból készült, amely tartósságot és sokoldalúságot biztosít. A 20 cm átmérőjű gömbben található 2 db melegfehér LED fényt bocsát ki, amely kellemes atmoszférát teremt a környezetében.
Az elemekkel való működtetés lehetővé teszi, hogy bárhol elhelyezze, anélkül, hogy aggódnia kellene az elektromos csatlakozás miatt. Kérjük vegye figyelembe, hogy a tápellátáshoz 3 db 1,5 V (AA) elem szükséges, amelyek nem tartoznak a csomaghoz.
Tegye otthonát vagy irodáját hangulatosabbá a GLE 20/WW EVA gömb dekorációval! Rendelje meg most, és teremtsen kellemes atmoszférát dekorációjával!</t>
        </is>
      </c>
    </row>
    <row r="2581">
      <c r="A2581" s="3" t="inlineStr">
        <is>
          <t>KDCA 15</t>
        </is>
      </c>
      <c r="B2581" s="2" t="inlineStr">
        <is>
          <t>Home KDCA 15 LED-es kerámia fehér autó figura, beltéri kivitel, 11 db LED</t>
        </is>
      </c>
      <c r="C2581" s="1" t="n">
        <v>5190.0</v>
      </c>
      <c r="D2581" s="7" t="n">
        <f>HYPERLINK("https://www.somogyi.hu/product/home-kdca-15-led-es-keramia-feher-auto-figura-belteri-kivitel-11-db-led-kdca-15-16566","https://www.somogyi.hu/product/home-kdca-15-led-es-keramia-feher-auto-figura-belteri-kivitel-11-db-led-kdca-15-16566")</f>
        <v>0.0</v>
      </c>
      <c r="E2581" s="7" t="n">
        <f>HYPERLINK("https://www.somogyi.hu/data/img/product_main_images/small/16566.jpg","https://www.somogyi.hu/data/img/product_main_images/small/16566.jpg")</f>
        <v>0.0</v>
      </c>
      <c r="F2581" s="2" t="inlineStr">
        <is>
          <t>5999084945985</t>
        </is>
      </c>
      <c r="G2581" s="4" t="inlineStr">
        <is>
          <t>Szeretné, ha egy egyedi karácsonyi dísz különleges fényekkel emelné otthonának hangulatát? A Home KDCA 15 LED-es kerámia fehér autó figura tökéletes választás! Az autó tetején egy gyönyörű fenyővel és 11 darab melegfehér LED világítással garantáltan meghitt, ünnepi fényeket áraszt. 
A részletgazdag kidolgozás és a karácsonyi fenyővel díszített autó nemcsak elegáns, hanem igazi karácsonyi varázslatot hoz otthonába. Beltéri használatra tervezve, ez a kerámia figura 2 darab 1,5 V-os AAA elemmel működik (nem tartozék), így szabadon elhelyezhető a lakás bármely pontján. Legyen szó egy polcról, asztalról vagy az ablakpárkányról, az autó kompakt mérete (18,5 x 15 x 11,5 cm) lehetővé teszi, hogy bárhol elférjen, és azonnal magára vonzza a tekinteteket.
Tegye különlegessé otthonát ezzel a stílusos LED-es fehér autó figurával, és varázsolja emlékezetessé az ünnepi hangulatot!</t>
        </is>
      </c>
    </row>
    <row r="2582">
      <c r="A2582" s="3" t="inlineStr">
        <is>
          <t>KDC 49</t>
        </is>
      </c>
      <c r="B2582" s="2" t="inlineStr">
        <is>
          <t>Home KDC 49 LED-es kerámia Welcome figura, beltéri kivitel, 4 db színváltó LED</t>
        </is>
      </c>
      <c r="C2582" s="1" t="n">
        <v>25790.0</v>
      </c>
      <c r="D2582" s="7" t="n">
        <f>HYPERLINK("https://www.somogyi.hu/product/home-kdc-49-led-es-keramia-welcome-figura-belteri-kivitel-4-db-szinvalto-led-kdc-49-16563","https://www.somogyi.hu/product/home-kdc-49-led-es-keramia-welcome-figura-belteri-kivitel-4-db-szinvalto-led-kdc-49-16563")</f>
        <v>0.0</v>
      </c>
      <c r="E2582" s="7" t="n">
        <f>HYPERLINK("https://www.somogyi.hu/data/img/product_main_images/small/16563.jpg","https://www.somogyi.hu/data/img/product_main_images/small/16563.jpg")</f>
        <v>0.0</v>
      </c>
      <c r="F2582" s="2" t="inlineStr">
        <is>
          <t>5999084945954</t>
        </is>
      </c>
      <c r="G2582" s="4" t="inlineStr">
        <is>
          <t>Képzelje el, hogy belép otthonába, és egy színpompás, zenélő karácsonyi dekoráció köszönti! A Home KDC 49 LED-es kerámia "Welcome" figura épp ezt nyújtja. 
A Mikulást és egy szarvast ábrázoló kerámia tökéletesen megragadja a karácsony szellemét, miközben a 4 darab színváltó LED izgalmas, varázslatos fényhatásokat biztosít. A beépített karácsonyi zene be- és kikapcsolható, így bármikor hangulathoz igazíthatja a dekorációt. A beltéri kivitelű figura három 1,5 V-os AA elemmel működik (nem tartozék), ami azt jelenti, hogy könnyedén elhelyezheti otthona bármelyik szobájában, anélkül, hogy kábelekkel kellene bajlódnia. Mérete (45 x 49 x 20 cm) tökéletes arra, hogy elegáns, de figyelemfelkeltő dísze legyen bármely helyiségnek, legyen szó a nappaliról, az előszobáról vagy akár az ünnepi asztalról. A kerámia anyag tartósságot és minőséget garantál, miközben a részletes kidolgozás valódi karácsonyi hangulatot teremt.
Válassza ezt a különleges "Welcome" figurát, és köszöntse vendégeit ünnepi fénnyel és dallammal az idei karácsonykor!</t>
        </is>
      </c>
    </row>
    <row r="2583">
      <c r="A2583" s="3" t="inlineStr">
        <is>
          <t>DRM 13</t>
        </is>
      </c>
      <c r="B2583" s="2" t="inlineStr">
        <is>
          <t>Home DRM 13 dioráma, mikulás, színes LED, kisvonat, világító, zenélő, beltéri</t>
        </is>
      </c>
      <c r="C2583" s="1" t="n">
        <v>18590.0</v>
      </c>
      <c r="D2583" s="7" t="n">
        <f>HYPERLINK("https://www.somogyi.hu/product/home-drm-13-diorama-mikulas-szines-led-kisvonat-vilagito-zenelo-belteri-drm-13-16991","https://www.somogyi.hu/product/home-drm-13-diorama-mikulas-szines-led-kisvonat-vilagito-zenelo-belteri-drm-13-16991")</f>
        <v>0.0</v>
      </c>
      <c r="E2583" s="7" t="n">
        <f>HYPERLINK("https://www.somogyi.hu/data/img/product_main_images/small/16991.jpg","https://www.somogyi.hu/data/img/product_main_images/small/16991.jpg")</f>
        <v>0.0</v>
      </c>
      <c r="F2583" s="2" t="inlineStr">
        <is>
          <t>5999084950231</t>
        </is>
      </c>
      <c r="G2583" s="4" t="inlineStr">
        <is>
          <t>Képzeljen el egy karácsonyi jelenetet, melyben a Mikulás a főszereplő! A DRM 13 Dioráma pontosan ezt a varázslatos pillanatot hozza el otthonába.
Ez a beltéri kivitelű, színes LED világítással ellátott dísz egy körbejáró kisvonattal kápráztatja el látogatóit, miközben a háttérből kellemes karácsonyi dallam szól. A termék választhatóan néma üzemmódban is képes működni. A tápellátást 3 x 1,5 V (AA) elem biztosítja, melyek nem tartozékok.
Tegye emlékezetessé az ünnepi időszakot és varázsoljon el mindenkit a DRM 13 Diorámával!</t>
        </is>
      </c>
    </row>
    <row r="2584">
      <c r="A2584" s="3" t="inlineStr">
        <is>
          <t>KDC 27</t>
        </is>
      </c>
      <c r="B2584" s="2" t="inlineStr">
        <is>
          <t>Home KDC 27 kerámia-plüss angyalka dekoráció, 1 db LED</t>
        </is>
      </c>
      <c r="C2584" s="1" t="n">
        <v>2890.0</v>
      </c>
      <c r="D2584" s="7" t="n">
        <f>HYPERLINK("https://www.somogyi.hu/product/home-kdc-27-keramia-pluss-angyalka-dekoracio-1-db-led-kdc-27-16995","https://www.somogyi.hu/product/home-kdc-27-keramia-pluss-angyalka-dekoracio-1-db-led-kdc-27-16995")</f>
        <v>0.0</v>
      </c>
      <c r="E2584" s="7" t="n">
        <f>HYPERLINK("https://www.somogyi.hu/data/img/product_main_images/small/16995.jpg","https://www.somogyi.hu/data/img/product_main_images/small/16995.jpg")</f>
        <v>0.0</v>
      </c>
      <c r="F2584" s="2" t="inlineStr">
        <is>
          <t>5999084950279</t>
        </is>
      </c>
      <c r="G2584" s="4" t="inlineStr">
        <is>
          <t>Szeretne egy olyan dekorációt, amely eleganciát és melegséget áraszt az ünnepi időszakban? A Home KDC 27 kerámia-plüss angyalka tökéletes választás, ha különleges fényekkel és angyali bájjal szeretné díszíteni otthonát.
Ez a beltéri kivitelű, álló angyalka világító szoknyával van ellátva, amelyet egy melegfehér LED világít meg, finom, lágy fényt árasztva. Az angyalka puha plüss szoknyával rendelkezik, amely egyszerre elegáns és meghitt. Kompakt méretével (8 x 26 x 8 cm) könnyedén elhelyezhető bármilyen asztalon, polcon vagy ablakpárkányon. A dísz tápellátásáról 2 darab 1,5 V-os (LR44) gombelem gondoskodik, melyek a csomagban találhatók, így az angyalka azonnal használatra kész.
Tegye otthonát varázslatossá ezzel a világító angyalkával – rendelje meg most, és élvezze az ünnepi hangulatot minden nap!</t>
        </is>
      </c>
    </row>
    <row r="2585">
      <c r="A2585" s="3" t="inlineStr">
        <is>
          <t>KAD 27</t>
        </is>
      </c>
      <c r="B2585" s="2" t="inlineStr">
        <is>
          <t>Home KAD 27 fa asztaldísz, csillag, LED neon-light szalag, melegfehér</t>
        </is>
      </c>
      <c r="C2585" s="1" t="n">
        <v>2190.0</v>
      </c>
      <c r="D2585" s="7" t="n">
        <f>HYPERLINK("https://www.somogyi.hu/product/home-kad-27-fa-asztaldisz-csillag-led-neon-light-szalag-melegfeher-kad-27-16503","https://www.somogyi.hu/product/home-kad-27-fa-asztaldisz-csillag-led-neon-light-szalag-melegfeher-kad-27-16503")</f>
        <v>0.0</v>
      </c>
      <c r="E2585" s="7" t="n">
        <f>HYPERLINK("https://www.somogyi.hu/data/img/product_main_images/small/16503.jpg","https://www.somogyi.hu/data/img/product_main_images/small/16503.jpg")</f>
        <v>0.0</v>
      </c>
      <c r="F2585" s="2" t="inlineStr">
        <is>
          <t>5999084945350</t>
        </is>
      </c>
      <c r="G2585" s="4" t="inlineStr">
        <is>
          <t>Szeretne egy kis melegséget csempészni otthonába a hideg téli napokon? A KAD 27 csillag formájú fa asztaldísz, tökéletes választás erre a célra! A LED-es neon-light szalag melegfehér fényt áraszt, amely kellemes, barátságos atmoszférát teremt a szobában.
A dísz működéséhez 3 x 1,5 V (AA) elemre lesz szüksége, amelyek nem tartoznak a termékhez, így azokat külön kell beszereznie.
Tegye otthonát még melegebbé és barátságosabbá a KAD 27 fa asztaldísszel! Rendelje meg most, és élvezze a kellemes melegfehér fényt, amit ez a csodás csillag alakú asztaldísz nyújt!</t>
        </is>
      </c>
    </row>
    <row r="2586">
      <c r="A2586" s="6" t="inlineStr">
        <is>
          <t xml:space="preserve">   Dekorációs világítás / Mécses</t>
        </is>
      </c>
      <c r="B2586" s="6" t="inlineStr">
        <is>
          <t/>
        </is>
      </c>
      <c r="C2586" s="6" t="inlineStr">
        <is>
          <t/>
        </is>
      </c>
      <c r="D2586" s="6" t="inlineStr">
        <is>
          <t/>
        </is>
      </c>
      <c r="E2586" s="6" t="inlineStr">
        <is>
          <t/>
        </is>
      </c>
      <c r="F2586" s="6" t="inlineStr">
        <is>
          <t/>
        </is>
      </c>
      <c r="G2586" s="6" t="inlineStr">
        <is>
          <t/>
        </is>
      </c>
    </row>
    <row r="2587">
      <c r="A2587" s="3" t="inlineStr">
        <is>
          <t>CDX 2/WH</t>
        </is>
      </c>
      <c r="B2587" s="2" t="inlineStr">
        <is>
          <t>Home CDX 2/WH LED-es LED-es gyertya, beltéri, 1db pislákoló sárga LED</t>
        </is>
      </c>
      <c r="C2587" s="1" t="n">
        <v>1150.0</v>
      </c>
      <c r="D2587" s="7" t="n">
        <f>HYPERLINK("https://www.somogyi.hu/product/home-cdx-2-wh-led-es-led-es-gyertya-belteri-1db-pislakolo-sarga-led-cdx-2-wh-15606","https://www.somogyi.hu/product/home-cdx-2-wh-led-es-led-es-gyertya-belteri-1db-pislakolo-sarga-led-cdx-2-wh-15606")</f>
        <v>0.0</v>
      </c>
      <c r="E2587" s="7" t="n">
        <f>HYPERLINK("https://www.somogyi.hu/data/img/product_main_images/small/15606.jpg","https://www.somogyi.hu/data/img/product_main_images/small/15606.jpg")</f>
        <v>0.0</v>
      </c>
      <c r="F2587" s="2" t="inlineStr">
        <is>
          <t>5999084936402</t>
        </is>
      </c>
      <c r="G2587" s="4" t="inlineStr">
        <is>
          <t>Szeretne otthonában hangulatos, pislákoló fényt, amely minden helyiségben meghitt légkört teremt, miközben teljesen biztonságos? A Home CDX 2/WH LED-es gyertya tökéletes választás azok számára, akik a gyertyák romantikus fényét szeretik, de elkerülnék a tűzveszélyt és a viaszfoltokat.
Ez a beltéri, műanyag kivitelű LED-es gyertya egy sárga, pislákoló LED-del rendelkezik, amely valósághűen utánozza a gyertya meleg fényét. A gyertya átmérője 6 cm, magassága 10 cm, így diszkrét, mégis látványos kiegészítője lehet nappalijának, hálószobájának vagy bármely más helyiségnek. A ki- és bekapcsolóval egyszerűen vezérelhető, így Ön könnyedén irányíthatja, mikor szeretné élvezni a kellemes fényt. A tápellátás 2 db 1,5 V-os (baby C) elemmel történik, amelyek nem tartozékok, de hosszú üzemidőt biztosítanak.
Teremtsen otthonában hangulatos, biztonságos világítást ezzel a LED-es gyertyával – rendelje meg most, és élvezze a pislákoló gyertyafényt bármikor!</t>
        </is>
      </c>
    </row>
    <row r="2588">
      <c r="A2588" s="3" t="inlineStr">
        <is>
          <t>CMW 16</t>
        </is>
      </c>
      <c r="B2588" s="2" t="inlineStr">
        <is>
          <t>Home CMW 16 LED-es viaszgyertya, mozgó lángeffekt, valódi viasz, 1 db LED</t>
        </is>
      </c>
      <c r="C2588" s="1" t="n">
        <v>3790.0</v>
      </c>
      <c r="D2588" s="7" t="n">
        <f>HYPERLINK("https://www.somogyi.hu/product/home-cmw-16-led-es-viaszgyertya-mozgo-langeffekt-valodi-viasz-1-db-led-cmw-16-15657","https://www.somogyi.hu/product/home-cmw-16-led-es-viaszgyertya-mozgo-langeffekt-valodi-viasz-1-db-led-cmw-16-15657")</f>
        <v>0.0</v>
      </c>
      <c r="E2588" s="7" t="n">
        <f>HYPERLINK("https://www.somogyi.hu/data/img/product_main_images/small/15657.jpg","https://www.somogyi.hu/data/img/product_main_images/small/15657.jpg")</f>
        <v>0.0</v>
      </c>
      <c r="F2588" s="2" t="inlineStr">
        <is>
          <t>5999084936914</t>
        </is>
      </c>
      <c r="G2588" s="4" t="inlineStr">
        <is>
          <t>Szeretne otthonában meghitt, pislákoló gyertyafényt, de elkerülné a hagyományos gyertyák okozta veszélyeket? A Home CMW 16 LED-es viaszgyertya kiváló választás, ha a valódi gyertya esztétikáját és melegségét szeretné élvezni biztonságos és praktikus formában.
Ez a beltéri LED-es gyertya valódi viasz alapanyagból készült, így a látvány és tapintás teljesen élethű. A mozgó lángnyelv funkcióval ellátott sárga LED valósághű pislákolást biztosít, így egyetlen pillantásra is olyan hatást kelt, mint egy igazi gyertya. A gyertya 7,5 cm átmérőjű és 15 cm magas, így ideális dekoráció bármely helyiségbe. A tápellátást 2 darab 1,5 V-os AA elem biztosítja (nem tartozék), amelyek hosszú üzemidőt garantálnak, így napokon keresztül élvezheti a kellemes fényhatást.
Tegye otthonát varázslatossá ezzel a LED-es viaszgyertyával – rendeljen most, és élvezze a biztonságos, mégis meghitt gyertyafényt minden nap!</t>
        </is>
      </c>
    </row>
    <row r="2589">
      <c r="A2589" s="3" t="inlineStr">
        <is>
          <t>CDO 1</t>
        </is>
      </c>
      <c r="B2589" s="2" t="inlineStr">
        <is>
          <t>Home CDO 1 LED-es gyertya, melegfehér LED, műanyag, 3 funkció, kültéri, beltéri</t>
        </is>
      </c>
      <c r="C2589" s="1" t="n">
        <v>1850.0</v>
      </c>
      <c r="D2589" s="7" t="n">
        <f>HYPERLINK("https://www.somogyi.hu/product/home-cdo-1-led-es-gyertya-melegfeher-led-muanyag-3-funkcio-kulteri-belteri-cdo-1-18130","https://www.somogyi.hu/product/home-cdo-1-led-es-gyertya-melegfeher-led-muanyag-3-funkcio-kulteri-belteri-cdo-1-18130")</f>
        <v>0.0</v>
      </c>
      <c r="E2589" s="7" t="n">
        <f>HYPERLINK("https://www.somogyi.hu/data/img/product_main_images/small/18130.jpg","https://www.somogyi.hu/data/img/product_main_images/small/18130.jpg")</f>
        <v>0.0</v>
      </c>
      <c r="F2589" s="2" t="inlineStr">
        <is>
          <t>5999084961527</t>
        </is>
      </c>
      <c r="G2589" s="4" t="inlineStr">
        <is>
          <t>Szeretne meghitt és meleg fényt biztosítani kül- és beltéri terekben anélkül, hogy a hagyományos gyertyák kockázataival kellene számolnia? A Home CDO 1 LED-es gyertya ideális választás, ha olyan dekorációt keres, amely egyszerre praktikus és esztétikus.
Ez a LED-es gyertya melegfehér, állófényű LED-del van felszerelve, amely lágy és kellemes fényt biztosít, így bármilyen környezetet otthonossá tesz. Különlegessége, hogy kül- és beltéri használatra egyaránt alkalmas, így akár a kertben, teraszon vagy otthona bármely pontján is elhelyezheti. A gyertya műanyagból készült, amely időjárásálló és tartós, így hosszú távon biztosítja a megbízható használatot. Az ON/OFF/TIMER funkciónak köszönhetően beállítható egy 6 órás időzített üzemmód, amelyet 18 órás kikapcsolás követ, így Önnek nem kell minden alkalommal kézzel be- és kikapcsolnia. A tápellátást 2 darab 1,5 V-os AA elem biztosítja (nem tartozék), így hosszú üzemidőt nyújt.
Tegye otthonát vagy kertjét még varázslatosabbá ezzel a stílusos és biztonságos LED-es gyertyával – rendelje meg most, és élvezze a gyertyafény varázsát bármikor, bárhol!</t>
        </is>
      </c>
    </row>
    <row r="2590">
      <c r="A2590" s="3" t="inlineStr">
        <is>
          <t>CD 1</t>
        </is>
      </c>
      <c r="B2590" s="2" t="inlineStr">
        <is>
          <t>Home CD 1 LED-es gyertya, állófényű LED, műanyag, 3 funkció</t>
        </is>
      </c>
      <c r="C2590" s="1" t="n">
        <v>3190.0</v>
      </c>
      <c r="D2590" s="7" t="n">
        <f>HYPERLINK("https://www.somogyi.hu/product/home-cd-1-led-es-gyertya-allofenyu-led-muanyag-3-funkcio-cd-1-17370","https://www.somogyi.hu/product/home-cd-1-led-es-gyertya-allofenyu-led-muanyag-3-funkcio-cd-1-17370")</f>
        <v>0.0</v>
      </c>
      <c r="E2590" s="7" t="n">
        <f>HYPERLINK("https://www.somogyi.hu/data/img/product_main_images/small/17370.jpg","https://www.somogyi.hu/data/img/product_main_images/small/17370.jpg")</f>
        <v>0.0</v>
      </c>
      <c r="F2590" s="2" t="inlineStr">
        <is>
          <t>5999084953928</t>
        </is>
      </c>
      <c r="G2590" s="4" t="inlineStr">
        <is>
          <t>Szeretne otthonában meghitt hangulatot teremteni a gyertya meleg fényével, de biztonságosabb megoldást keres? A Home CD 1 LED-es gyertya tökéletes választás azoknak, akik a hagyományos gyertyák romantikus hangulatát kívánják megidézni, de szeretnék elkerülni a tűzveszélyt. 
A melegfehér, pislákoló LED lángnyelv alakú kialakítása valósághű hatást kelt, míg a gyertya valódi viasz borítása még tovább fokozza a hitelességet. A praktikus be-/ki kapcsoló lehetővé teszi az egyszerű használatot, így bármikor egyetlen mozdulattal életre keltheti ezt a gyönyörű dekorációt. A gyertya 2 x 1,5 V (AA) elemmel működik (nem tartozék), ami hosszú üzemidőt biztosít, miközben nem igényel hálózati csatlakozást, így bárhol elhelyezhető. Kompakt mérete (∅7,5 cm; 12,5 cm) révén ideális választás lehet asztalra, polcra, vagy akár egy ünnepi dekoráció részeként is.
Varázsoljon hangulatos fényeket otthonába ezzel a biztonságos és stílusos LED-es gyertyával, és rendelje meg most!</t>
        </is>
      </c>
    </row>
    <row r="2591">
      <c r="A2591" s="3" t="inlineStr">
        <is>
          <t>CDL 17</t>
        </is>
      </c>
      <c r="B2591" s="2" t="inlineStr">
        <is>
          <t>Home CDL 17 LED-es kőmécses, valódi viasz, LED, ismétlődő időzítés, 14 cm magas</t>
        </is>
      </c>
      <c r="C2591" s="1" t="n">
        <v>2790.0</v>
      </c>
      <c r="D2591" s="7" t="n">
        <f>HYPERLINK("https://www.somogyi.hu/product/home-cdl-17-led-es-komecses-valodi-viasz-led-ismetlodo-idozites-14-cm-magas-cdl-17-17353","https://www.somogyi.hu/product/home-cdl-17-led-es-komecses-valodi-viasz-led-ismetlodo-idozites-14-cm-magas-cdl-17-17353")</f>
        <v>0.0</v>
      </c>
      <c r="E2591" s="7" t="n">
        <f>HYPERLINK("https://www.somogyi.hu/data/img/product_main_images/small/17353.jpg","https://www.somogyi.hu/data/img/product_main_images/small/17353.jpg")</f>
        <v>0.0</v>
      </c>
      <c r="F2591" s="2" t="inlineStr">
        <is>
          <t>5999084953751</t>
        </is>
      </c>
      <c r="G2591" s="4" t="inlineStr">
        <is>
          <t>Szeretné otthonát meleg, pislákoló fénybe burkolni, de elkerülné a tűzveszélyt és a viaszfoltokat? A Home CDL 17 LED-es kőmécses ideális megoldás azok számára, akik biztonságos, mégis élethű fényforrást keresnek.
Ez a prémium kőmécses melegfehér, pislákoló LED-fényt bocsát ki, amely lángnyelv alakú fényével élethűen utánozza a valódi gyertya lángját. Valódi viasz, amely természetes megjelenést kölcsönöz, így bármely enteriőrbe tökéletesen illeszkedik. A 6 órás automatikus időzítő funkciónak köszönhetően a mécses magától kapcsol be és ki (6 óra világítás után 18 órás kikapcsolási ciklus következik), így egyszerűen használható, és nem igényel állandó figyelmet. A mécses működéséhez 3 darab 1,5 V-os AA elem szükséges (nem tartozék). Nagyméretű, 17 cm átmérőjű és 14 cm magas kivitele különleges megjelenést biztosít, amely szemet gyönyörködtető dísze lehet nappalijának vagy hálószobájának.
Ne hagyja ki a lehetőséget, hogy otthonába varázsolja a meghittség fényét ezzel a lenyűgöző LED-es kőmécsessel – rendelje meg most, és élvezze a stílusos, biztonságos világítást minden nap!</t>
        </is>
      </c>
    </row>
    <row r="2592">
      <c r="A2592" s="3" t="inlineStr">
        <is>
          <t>CD 6/WH</t>
        </is>
      </c>
      <c r="B2592" s="2" t="inlineStr">
        <is>
          <t>Home CD 6/WH LED-es teamécses, narancssárga LED, 6 db</t>
        </is>
      </c>
      <c r="C2592" s="1" t="n">
        <v>1450.0</v>
      </c>
      <c r="D2592" s="7" t="n">
        <f>HYPERLINK("https://www.somogyi.hu/product/home-cd-6-wh-led-es-teamecses-narancssarga-led-6-db-cd-6-wh-14739","https://www.somogyi.hu/product/home-cd-6-wh-led-es-teamecses-narancssarga-led-6-db-cd-6-wh-14739")</f>
        <v>0.0</v>
      </c>
      <c r="E2592" s="7" t="n">
        <f>HYPERLINK("https://www.somogyi.hu/data/img/product_main_images/small/14739.jpg","https://www.somogyi.hu/data/img/product_main_images/small/14739.jpg")</f>
        <v>0.0</v>
      </c>
      <c r="F2592" s="2" t="inlineStr">
        <is>
          <t>5999084927813</t>
        </is>
      </c>
      <c r="G2592" s="4" t="inlineStr">
        <is>
          <t>Olyan dekoratív megoldást keres, amely meleg fényt áraszt, ugyanakkor teljesen biztonságos? A Home CD 6/WH LED-es teamécses tökéletes választás, ha a gyertyák varázslatos atmoszféráját szeretné élvezni a hagyományos mécsesek kockázatai nélkül.
Ez a narancssárga pislákoló LED-del felszerelt teamécses valósághűen utánozza a gyertya lobogását, így kellemes, meleg fényt biztosít minden helyiségben. A termék praktikus mérete – 3,8 cm átmérő és 4,5 cm magasság – lehetővé teszi, hogy bármely felületen könnyedén elhelyezze. A tápellátást egy 3 V-os CR2032 gombelem biztosítja, amelyet a csomag tartalmaz, így a mécsesek azonnal használhatók. A termék hat darab teamécsest tartalmazó bliszter csomagban érkezik, így egy vásárlással több helyiség dekorálása is megoldható.
Ne hagyja ki a lehetőséget, hogy egyszerűen és biztonságosan teremtsen meghitt hangulatot otthonában – rendelje meg még ma ezt a sokoldalú LED-es teamécsest!</t>
        </is>
      </c>
    </row>
    <row r="2593">
      <c r="A2593" s="3" t="inlineStr">
        <is>
          <t>CDL 14</t>
        </is>
      </c>
      <c r="B2593" s="2" t="inlineStr">
        <is>
          <t>Home CDL 14 LED-es kőmécses, valódi viasz, LED, ismétlődő időzítés, 8,5 cm magas</t>
        </is>
      </c>
      <c r="C2593" s="1" t="n">
        <v>1850.0</v>
      </c>
      <c r="D2593" s="7" t="n">
        <f>HYPERLINK("https://www.somogyi.hu/product/home-cdl-14-led-es-komecses-valodi-viasz-led-ismetlodo-idozites-8-5-cm-magas-cdl-14-17352","https://www.somogyi.hu/product/home-cdl-14-led-es-komecses-valodi-viasz-led-ismetlodo-idozites-8-5-cm-magas-cdl-14-17352")</f>
        <v>0.0</v>
      </c>
      <c r="E2593" s="7" t="n">
        <f>HYPERLINK("https://www.somogyi.hu/data/img/product_main_images/small/17352.jpg","https://www.somogyi.hu/data/img/product_main_images/small/17352.jpg")</f>
        <v>0.0</v>
      </c>
      <c r="F2593" s="2" t="inlineStr">
        <is>
          <t>5999084953744</t>
        </is>
      </c>
      <c r="G2593" s="4" t="inlineStr">
        <is>
          <t>Olyan dekorációs megoldást keres, amely valósághűen idézi meg a gyertya melegségét és hangulatát, ugyanakkor teljesen biztonságos? A Home CDL 14 LED-es kőmécses kiváló választás, ha otthonában természetes és látványos fényhatásra vágyik.
Ez a különleges mécses melegfehér, pislákoló, lángnyelv alakú LED-fénnyel működik, amelyet valódi viasz burkol, így minden szempontból élethűen utánozza a hagyományos gyertyák hangulatát. Az eszköz praktikus, 6 órás automatikus bekapcsolási időzítővel rendelkezik, melyet 18 óra szünet követ, így naponta ismétlődően magától működik. A tápellátást 3 darab 1,5 V-os AA elem biztosítja (nem tartozék), így a mécses hosszú üzemidőt nyújt anélkül, hogy állandó figyelmet igényelne. A 14 cm átmérőjű és 8,5 cm magas kőmécses kiválóan illik bármely belső térbe, legyen az nappali, hálószoba vagy akár egy hangulatos étkezőasztal.
Teremtsen meghitt, természetes hatású fényt otthonában – válassza a Home CDL 14 LED-es kőmécsest, és élvezze a biztonságos, időtálló dekorációt!</t>
        </is>
      </c>
    </row>
    <row r="2594">
      <c r="A2594" s="3" t="inlineStr">
        <is>
          <t>CDS 2</t>
        </is>
      </c>
      <c r="B2594" s="2" t="inlineStr">
        <is>
          <t>Home CDS 2 LED-es gyertyaszett, 2 db, sárga LED, 6 cm magas</t>
        </is>
      </c>
      <c r="C2594" s="1" t="n">
        <v>1090.0</v>
      </c>
      <c r="D2594" s="7" t="n">
        <f>HYPERLINK("https://www.somogyi.hu/product/home-cds-2-led-es-gyertyaszett-2-db-sarga-led-6-cm-magas-cds-2-16069","https://www.somogyi.hu/product/home-cds-2-led-es-gyertyaszett-2-db-sarga-led-6-cm-magas-cds-2-16069")</f>
        <v>0.0</v>
      </c>
      <c r="E2594" s="7" t="n">
        <f>HYPERLINK("https://www.somogyi.hu/data/img/product_main_images/small/16069.jpg","https://www.somogyi.hu/data/img/product_main_images/small/16069.jpg")</f>
        <v>0.0</v>
      </c>
      <c r="F2594" s="2" t="inlineStr">
        <is>
          <t>5999084941017</t>
        </is>
      </c>
      <c r="G2594" s="4" t="inlineStr">
        <is>
          <t>Szeretné a hagyományos gyertyák varázsát élvezni, de elkerülné a tűzveszélyt és a viaszfoltokat? A Home CDS 2 LED-es gyertyaszett tökéletes megoldás, ha szeretne hangulatos, pislákoló fényt bármely helyiségben.
Ez a kompakt gyertyaszett sárga, pislákoló LED-del működik, amely valósághűen utánozza a valódi gyertyák melegségét. A gyertyák átmérője 4 cm, magasságuk pedig 6 cm, így ideális méretűek asztali dekorációnak vagy polcokra helyezve. A tápellátásról egy 3 V-os CR2032 gombelem gondoskodik (a csomag tartalmazza), így azonnal használatra kész. Egy displayben nyolc szett található, így több darabot is egyszerűen beszerezhet különböző helyiségek dekorálására.
Hozzon létre meghitt, biztonságos gyertyafényt otthonában ezzel a LED-es gyertyaszettel – rendelje meg még ma, és élvezze a hangulatos világítást bárhol, bármikor!</t>
        </is>
      </c>
    </row>
    <row r="2595">
      <c r="A2595" s="3" t="inlineStr">
        <is>
          <t>CD 2/WX</t>
        </is>
      </c>
      <c r="B2595" s="2" t="inlineStr">
        <is>
          <t>Home CD 2/WX LED-es teamécses, narancssárga LED, 2 db</t>
        </is>
      </c>
      <c r="C2595" s="1" t="n">
        <v>639.0</v>
      </c>
      <c r="D2595" s="7" t="n">
        <f>HYPERLINK("https://www.somogyi.hu/product/home-cd-2-wx-led-es-teamecses-narancssarga-led-2-db-cd-2-wx-13445","https://www.somogyi.hu/product/home-cd-2-wx-led-es-teamecses-narancssarga-led-2-db-cd-2-wx-13445")</f>
        <v>0.0</v>
      </c>
      <c r="E2595" s="7" t="n">
        <f>HYPERLINK("https://www.somogyi.hu/data/img/product_main_images/small/13445.jpg","https://www.somogyi.hu/data/img/product_main_images/small/13445.jpg")</f>
        <v>0.0</v>
      </c>
      <c r="F2595" s="2" t="inlineStr">
        <is>
          <t>5999084915315</t>
        </is>
      </c>
      <c r="G2595" s="4" t="inlineStr">
        <is>
          <t>Biztonságos, hosszan tartó fény egy gombnyomásra! Gondolt már arra, hogy mennyivel egyszerűbb és biztonságosabb lenne a hangulatos gyertyafényt elektromos megoldással helyettesíteni? 
A Home CD 2/WX LED-es teamécses tökéletes választás mindazok számára, akik szeretnék elkerülni a hagyományos gyertyák veszélyeit, miközben nem mondanak le a meleg, pislákoló fények nyújtotta atmoszféráról. Ez a narancssárga LED-fényű mécses élethűen utánozza a valódi gyertya lobogását, miközben biztonságos és hosszú élettartamú megoldást kínál. A termék tápellátása egy darab 3V-os CR2032 típusú gombelem, amelyet a csomag tartalmaz, így azonnal használható. Két darab LED-es mécses található a bliszter csomagolásban, ami ideális lehet több helyiség dekorálására is.
Hozza létre a tökéletes hangulatot bármely helyiségben, és élvezze a gyertya fényének biztonságos, modern változatát – rendelje meg most!</t>
        </is>
      </c>
    </row>
    <row r="2596">
      <c r="A2596" s="3" t="inlineStr">
        <is>
          <t>CDS 3</t>
        </is>
      </c>
      <c r="B2596" s="2" t="inlineStr">
        <is>
          <t>Home CDS 3 LED-es gyertyaszett üvegben, lángnyelv alakú LED, valódi viasz, 6 cm magas</t>
        </is>
      </c>
      <c r="C2596" s="1" t="n">
        <v>6090.0</v>
      </c>
      <c r="D2596" s="7" t="n">
        <f>HYPERLINK("https://www.somogyi.hu/product/home-cds-3-led-es-gyertyaszett-uvegben-langnyelv-alaku-led-valodi-viasz-6-cm-magas-cds-3-17351","https://www.somogyi.hu/product/home-cds-3-led-es-gyertyaszett-uvegben-langnyelv-alaku-led-valodi-viasz-6-cm-magas-cds-3-17351")</f>
        <v>0.0</v>
      </c>
      <c r="E2596" s="7" t="n">
        <f>HYPERLINK("https://www.somogyi.hu/data/img/product_main_images/small/17351.jpg","https://www.somogyi.hu/data/img/product_main_images/small/17351.jpg")</f>
        <v>0.0</v>
      </c>
      <c r="F2596" s="2" t="inlineStr">
        <is>
          <t>5999084953737</t>
        </is>
      </c>
      <c r="G2596" s="4" t="inlineStr">
        <is>
          <t>Olyan dekoratív megoldást keres, amely meleg fényt áraszt, mégis biztonságos és praktikus? A Home CDS 3 LED-es gyertyaszett üvegben tökéletes választás, ha szeretne hangulatos világítást, anélkül hogy aggódnia kellene a hagyományos gyertyák tűzveszélyei miatt.
Ez a gyertyaszett valósághű, melegfehér, pislákoló lángnyelv alakú LED-ekkel rendelkezik, melyek valódi viaszba vannak öntve, így a gyertya kinézete és fénye szinte megkülönböztethetetlen a hagyományos mécsesektől. Az elegáns üveg kialakítás további stílust kölcsönöz, amely bármely helyiségben megállja a helyét. A gyertyák kényelmes be- és kikapcsolóval rendelkeznek, így könnyen vezérelhetőek. A tápellátást 2 darab 3 V-os CR2032 gombelem biztosítja, amelyeket a csomag tartalmaz, így azonnal használatra kész.
Tegye otthonát igazán különlegessé ezzel a gyönyörű LED-es gyertyaszettel – rendelje meg most, és élvezze a meleg, biztonságos fényt minden nap!</t>
        </is>
      </c>
    </row>
    <row r="2597">
      <c r="A2597" s="3" t="inlineStr">
        <is>
          <t>CDL 20</t>
        </is>
      </c>
      <c r="B2597" s="2" t="inlineStr">
        <is>
          <t>Home CDL 20 LED-es kőmécses, valódi viasz, 3 db LED, ismétlődő időzítés, 8 cm magas</t>
        </is>
      </c>
      <c r="C2597" s="1" t="n">
        <v>3690.0</v>
      </c>
      <c r="D2597" s="7" t="n">
        <f>HYPERLINK("https://www.somogyi.hu/product/home-cdl-20-led-es-komecses-valodi-viasz-3-db-led-ismetlodo-idozites-8-cm-magas-cdl-20-17354","https://www.somogyi.hu/product/home-cdl-20-led-es-komecses-valodi-viasz-3-db-led-ismetlodo-idozites-8-cm-magas-cdl-20-17354")</f>
        <v>0.0</v>
      </c>
      <c r="E2597" s="7" t="n">
        <f>HYPERLINK("https://www.somogyi.hu/data/img/product_main_images/small/17354.jpg","https://www.somogyi.hu/data/img/product_main_images/small/17354.jpg")</f>
        <v>0.0</v>
      </c>
      <c r="F2597" s="2" t="inlineStr">
        <is>
          <t>5999084953768</t>
        </is>
      </c>
      <c r="G2597" s="4" t="inlineStr">
        <is>
          <t>Egy olyan fényforrást keres, amely egyszerre stílusos, biztonságos és élethű? A Home CDL 20 LED-es kőmécses tökéletes választás, ha szeretné otthonát meleg, pislákoló fényekkel feldobni anélkül, hogy a hagyományos gyertyák veszélyeitől tartana.
Ez a különleges kőmécses három darab melegfehér, lángnyelv alakú LED-fénnyel rendelkezik, amelyek valósághűen utánozzák a gyertya lobogó lángját. A termék valódi viasz borítással készült, ami még inkább fokozza az autentikus megjelenést. A beépített időzítő funkció (6 óra bekapcsolva, 18 óra kikapcsolva) biztosítja, hogy a mécses automatikusan működjön, így Önnek csak élveznie kell a hangulatos fényt. A működéshez 3 darab 1,5 V-os AA elem szükséges (nem tartozék), amelyek hosszú üzemidőt biztosítanak. A mécses nagy, 20 cm átmérőjű és 8 cm magas, így remek választás bármilyen asztali dekorációként vagy polcra helyezve is.
Teremtsen meghitt, elegáns hangulatot otthonában ezzel a stílusos LED-es kőmécsessel – adja hozzá a kosarához most, és élvezze a varázslatos fényhatást minden nap!</t>
        </is>
      </c>
    </row>
    <row r="2598">
      <c r="A2598" s="6" t="inlineStr">
        <is>
          <t xml:space="preserve">   Dekorációs világítás / Táncoló, zenélő figura</t>
        </is>
      </c>
      <c r="B2598" s="6" t="inlineStr">
        <is>
          <t/>
        </is>
      </c>
      <c r="C2598" s="6" t="inlineStr">
        <is>
          <t/>
        </is>
      </c>
      <c r="D2598" s="6" t="inlineStr">
        <is>
          <t/>
        </is>
      </c>
      <c r="E2598" s="6" t="inlineStr">
        <is>
          <t/>
        </is>
      </c>
      <c r="F2598" s="6" t="inlineStr">
        <is>
          <t/>
        </is>
      </c>
      <c r="G2598" s="6" t="inlineStr">
        <is>
          <t/>
        </is>
      </c>
    </row>
    <row r="2599">
      <c r="A2599" s="3" t="inlineStr">
        <is>
          <t>KDD 31</t>
        </is>
      </c>
      <c r="B2599" s="2" t="inlineStr">
        <is>
          <t>Home KDD 31 táncoló, zenélő mikulás, 30 cm magas</t>
        </is>
      </c>
      <c r="C2599" s="1" t="n">
        <v>6390.0</v>
      </c>
      <c r="D2599" s="7" t="n">
        <f>HYPERLINK("https://www.somogyi.hu/product/home-kdd-31-tancolo-zenelo-mikulas-30-cm-magas-kdd-31-13984","https://www.somogyi.hu/product/home-kdd-31-tancolo-zenelo-mikulas-30-cm-magas-kdd-31-13984")</f>
        <v>0.0</v>
      </c>
      <c r="E2599" s="7" t="n">
        <f>HYPERLINK("https://www.somogyi.hu/data/img/product_main_images/small/13984.jpg","https://www.somogyi.hu/data/img/product_main_images/small/13984.jpg")</f>
        <v>0.0</v>
      </c>
      <c r="F2599" s="2" t="inlineStr">
        <is>
          <t>5999084920364</t>
        </is>
      </c>
      <c r="G2599" s="4" t="inlineStr">
        <is>
          <t>Képzelje el, hogy a Mikulás nemcsak díszíti otthonát, hanem kellemes dallamokra táncol is! A Home KDD 31 táncoló, zenélő Mikulás igazán különleges karácsonyi dekoráció, amely vidám mozdulataival és ünnepi zenéjével garantáltan elvarázsolja a család minden tagját. 
Ez az interaktív, beltéri kivitelű figura igazi karácsonyi varázslatot hoz bármely helyiségbe, legyen szó a nappaliról vagy a gyerekszobáról. A Mikulás 30 cm-es magasságával pont ideális méretű, hogy a figyelem középpontjába kerüljön, miközben kedves dallamokat játszik és táncra perdül. A figurához 3 darab 1,5 V-os AA elem szükséges (nem tartozék), így könnyedén elhelyezhető bárhol, ahol egy kis ünnepi mozgásra és zenére vágyik.
Ne hagyja ki ezt az egyedi táncoló Mikulást – hozza el otthonába az ünnep vidám ritmusát, és tegye felejthetetlenné a karácsonyt!</t>
        </is>
      </c>
    </row>
    <row r="2600">
      <c r="A2600" s="3" t="inlineStr">
        <is>
          <t>KDD 32</t>
        </is>
      </c>
      <c r="B2600" s="2" t="inlineStr">
        <is>
          <t>Home KDD 32 táncoló, zenélő mikulás, 30 cm magas</t>
        </is>
      </c>
      <c r="C2600" s="1" t="n">
        <v>6390.0</v>
      </c>
      <c r="D2600" s="7" t="n">
        <f>HYPERLINK("https://www.somogyi.hu/product/home-kdd-32-tancolo-zenelo-mikulas-30-cm-magas-kdd-32-13985","https://www.somogyi.hu/product/home-kdd-32-tancolo-zenelo-mikulas-30-cm-magas-kdd-32-13985")</f>
        <v>0.0</v>
      </c>
      <c r="E2600" s="7" t="n">
        <f>HYPERLINK("https://www.somogyi.hu/data/img/product_main_images/small/13985.jpg","https://www.somogyi.hu/data/img/product_main_images/small/13985.jpg")</f>
        <v>0.0</v>
      </c>
      <c r="F2600" s="2" t="inlineStr">
        <is>
          <t>5999084920371</t>
        </is>
      </c>
      <c r="G2600" s="4" t="inlineStr">
        <is>
          <t>Szeretné, ha egy táncoló és zenélő Mikulás hozná el az ünnepi hangulatot otthonába? A Home KDD 32 táncoló, zenélő Mikulás nemcsak egy egyszerű dekoráció, hanem egy interaktív élmény is, amely kellemes dallamokkal és vidám mozdulatokkal varázsolja el az egész családot. 
Ez az aranyos, 30 cm magas Mikulás figura tökéletes kiegészítője lehet bármely karácsonyi dekorációnak, miközben zenére táncolva életre kelti a karácsony varázsát. A beltéri kivitelű figura 3 darab 1,5 V-os AA elemmel működik (nem tartozék), így könnyedén elhelyezheti a nappaliban, az előszobában vagy akár a gyerekszobában is. Kompakt méretének köszönhetően jól mutat az ünnepi asztalon, polcon vagy akár a karácsonyfa mellett is, így garantáltan a figyelem középpontjába kerül.
Vigye haza ezt a táncoló Mikulást, és töltse meg otthonát vidámsággal és zenével az idei ünnepeken!</t>
        </is>
      </c>
    </row>
    <row r="2601">
      <c r="A2601" s="3" t="inlineStr">
        <is>
          <t>KDD 39</t>
        </is>
      </c>
      <c r="B2601" s="2" t="inlineStr">
        <is>
          <t>Home KDD 39 éneklő, táncoló fenyő, 40 cm magas</t>
        </is>
      </c>
      <c r="C2601" s="1" t="n">
        <v>8290.0</v>
      </c>
      <c r="D2601" s="7" t="n">
        <f>HYPERLINK("https://www.somogyi.hu/product/home-kdd-39-eneklo-tancolo-fenyo-40-cm-magas-kdd-39-17331","https://www.somogyi.hu/product/home-kdd-39-eneklo-tancolo-fenyo-40-cm-magas-kdd-39-17331")</f>
        <v>0.0</v>
      </c>
      <c r="E2601" s="7" t="n">
        <f>HYPERLINK("https://www.somogyi.hu/data/img/product_main_images/small/17331.jpg","https://www.somogyi.hu/data/img/product_main_images/small/17331.jpg")</f>
        <v>0.0</v>
      </c>
      <c r="F2601" s="2" t="inlineStr">
        <is>
          <t>5999084953539</t>
        </is>
      </c>
      <c r="G2601" s="4" t="inlineStr">
        <is>
          <t>Szeretne egy igazán egyedi és szórakoztató díszt karácsonyra vagy akár az év bármely más időszakára? A Home KDD 39 táncoló fenyő tökéletes választás, ha egy különleges és interaktív dekorációt keres, ami garantáltan mosolyt csal mindenki arcára.
Ez a vidám kis fenyő nemcsak énekel, hanem táncmozdulatokat is végez, így azonnal felvidítja a hangulatot. A fenyő karjai szabadon beállíthatóak, így különböző pozíciókban helyezhető el, ami még több szórakozást nyújt. Legyen szó karácsonyi összejövetelről, gyermekzsúrról vagy akár csak egy vidám estéről a családdal, ez a táncoló fenyő minden alkalomra tökéletes választás.
A tápellátását 3 x 1,5 V (AA) elem biztosítja, amelyek nem tartoznak a csomaghoz, így külön megvásárolhatóak. Ennek köszönhetően a fenyő könnyen üzembe helyezhető és hordozható, így bármelyik helyiségben felállítható.
Válassza a Home KDD 39 táncoló fenyőt, ha egy vidám és interaktív dekorációs elemet keres, ami garantáltan emeli az ünnepi hangulatot. Rendelje meg most, és hozzon egy kis varázslatot az otthonába ezzel a táncoló és éneklő fenyővel!</t>
        </is>
      </c>
    </row>
    <row r="2602">
      <c r="A2602" s="3" t="inlineStr">
        <is>
          <t>KDD 38</t>
        </is>
      </c>
      <c r="B2602" s="2" t="inlineStr">
        <is>
          <t>Home KDD 38 éneklő rénszarvas, 38 cm magas</t>
        </is>
      </c>
      <c r="C2602" s="1" t="n">
        <v>9590.0</v>
      </c>
      <c r="D2602" s="7" t="n">
        <f>HYPERLINK("https://www.somogyi.hu/product/home-kdd-38-eneklo-renszarvas-38-cm-magas-kdd-38-16992","https://www.somogyi.hu/product/home-kdd-38-eneklo-renszarvas-38-cm-magas-kdd-38-16992")</f>
        <v>0.0</v>
      </c>
      <c r="E2602" s="7" t="n">
        <f>HYPERLINK("https://www.somogyi.hu/data/img/product_main_images/small/16992.jpg","https://www.somogyi.hu/data/img/product_main_images/small/16992.jpg")</f>
        <v>0.0</v>
      </c>
      <c r="F2602" s="2" t="inlineStr">
        <is>
          <t>5999084950248</t>
        </is>
      </c>
      <c r="G2602" s="4" t="inlineStr">
        <is>
          <t>Egy különleges karácsonyi díszt keres, ami mosolyt csal mindenki arcára? A Home KDD 38 Éneklő Rénszarvas tökéletes választás lehet!
Ez a szórakoztató karácsonyi dekoráció nem csupán egy egyszerű dísz; éneklő és mozgó funkciói révén azonnal felvidítja a hangulatot. Amikor bekapcsolja, a rénszarvas vidám dallamokat énekel, miközben fejét ingatja, így garantáltan feldobja az ünnepi hangulatot. Kiválóan alkalmas otthona dekorálására vagy akár egy vicces ajándékként is szolgálhat. A  játékos figura három darab 1,5 V-os (AA) elemmel üzemel, melyek nem részei a csomagnak. Egyszerűen helyezzen bele az elemeket, és máris élvezheti a rénszarvas vidám produkcióját.
A Home KDD 38 Éneklő Rénszarvas remekül illeszkedik a karácsonyfa alá vagy az előszobába, ahol minden belépő vendéget mosolyra fakaszthat. Könnyen kezelhető és biztonságos, így a gyermekek is nyugodtan játszhatnak vele.
Ne hagyja ki ezt a különleges és szórakoztató karácsonyi dekorációt! A Home KDD 38 Éneklő Rénszarvas garantáltan vidámabbá teszi az ünnepi időszakot. Vásárolja meg most, és hozza el az ünnepi hangulatot otthonába!</t>
        </is>
      </c>
    </row>
    <row r="2603">
      <c r="A2603" s="3" t="inlineStr">
        <is>
          <t>KDD 35</t>
        </is>
      </c>
      <c r="B2603" s="2" t="inlineStr">
        <is>
          <t>Home KDD 35 táncoló, zenélő mikulás, világító lámpás, 35 cm magas</t>
        </is>
      </c>
      <c r="C2603" s="1" t="n">
        <v>8390.0</v>
      </c>
      <c r="D2603" s="7" t="n">
        <f>HYPERLINK("https://www.somogyi.hu/product/home-kdd-35-tancolo-zenelo-mikulas-vilagito-lampas-35-cm-magas-kdd-35-17816","https://www.somogyi.hu/product/home-kdd-35-tancolo-zenelo-mikulas-vilagito-lampas-35-cm-magas-kdd-35-17816")</f>
        <v>0.0</v>
      </c>
      <c r="E2603" s="7" t="n">
        <f>HYPERLINK("https://www.somogyi.hu/data/img/product_main_images/small/17816.jpg","https://www.somogyi.hu/data/img/product_main_images/small/17816.jpg")</f>
        <v>0.0</v>
      </c>
      <c r="F2603" s="2" t="inlineStr">
        <is>
          <t>5999084958381</t>
        </is>
      </c>
      <c r="G2603" s="4" t="inlineStr">
        <is>
          <t>Képzelje el, hogy a Mikulás nemcsak zenél, de táncra is perdül, miközben lámpásával megvilágítja a karácsony meghitt hangulatát! A Home KDD 35 táncoló, zenélő Mikulás világító lámpással egy különleges ünnepi dekoráció, amely kellemes dallamokat játszik és bájos mozdulatokkal szórakoztatja a családot. 
A világító lámpás tovább fokozza a varázslatos karácsonyi hangulatot, miközben a figura 35 cm-es méretével könnyedén válik az otthon egyik központi díszévé. A Mikulás 3 darab 1,5 V-os AA elemmel működik (nem tartozék), így bárhol elhelyezheti otthonában, ahol egy kis vidámságra és fényre vágyik. Beltéri kivitelének köszönhetően remekül mutat a nappaliban, a gyerekszobában vagy akár a karácsonyfa közelében is, garantáltan felvidítva mindenkit az ünnepek alatt.
Hozza haza ezt a táncoló Mikulást, és varázsoljon fényt és zenét az otthonába az ünnepek alatt!</t>
        </is>
      </c>
    </row>
    <row r="2604">
      <c r="A2604" s="3" t="inlineStr">
        <is>
          <t>KDD 45</t>
        </is>
      </c>
      <c r="B2604" s="2" t="inlineStr">
        <is>
          <t>Home KDD 45 táncoló, zenélő mikulás, 45 cm magas</t>
        </is>
      </c>
      <c r="C2604" s="1" t="n">
        <v>10890.0</v>
      </c>
      <c r="D2604" s="7" t="n">
        <f>HYPERLINK("https://www.somogyi.hu/product/home-kdd-45-tancolo-zenelo-mikulas-45-cm-magas-kdd-45-13986","https://www.somogyi.hu/product/home-kdd-45-tancolo-zenelo-mikulas-45-cm-magas-kdd-45-13986")</f>
        <v>0.0</v>
      </c>
      <c r="E2604" s="7" t="n">
        <f>HYPERLINK("https://www.somogyi.hu/data/img/product_main_images/small/13986.jpg","https://www.somogyi.hu/data/img/product_main_images/small/13986.jpg")</f>
        <v>0.0</v>
      </c>
      <c r="F2604" s="2" t="inlineStr">
        <is>
          <t>5999084920388</t>
        </is>
      </c>
      <c r="G2604" s="4" t="inlineStr">
        <is>
          <t>Képzelje el, hogy egy kedves Mikulás nemcsak zenél, de táncolva üdvözli vendégeit az ünnepi időszakban! A Home KDD 45 táncoló, zenélő Mikulás tökéletes választás, ha olyan karácsonyi dekorációt keres, ami mosolyt csal az arcokra és kellemes dallamokkal tölti meg otthonát. 
A 45 cm magas Mikulás figura látványos méretével, zenére mozgó vidám mozdulataival és kellemes hangulatot árasztó dallamaival garantáltan az ünnepi dekoráció egyik legszórakoztatóbb eleme lesz. A beltéri kivitelű figura 3 darab 1,5 V-os AA elemmel működik (nem tartozék), így bárhol elhelyezheti otthonában, ahol szükség van egy kis extra vidámságra és karácsonyi hangulatra. A Mikulás tökéletesen illik a nappaliba, a gyerekszobába vagy akár az előszobába is, ahol táncával mindenkit meglep és szórakoztat.
Ne hagyja ki ezt a táncoló Mikulást, és tegye emlékezetessé az ünnepi szezont ezzel a zenélő, vidám dekorációval!</t>
        </is>
      </c>
    </row>
    <row r="2605">
      <c r="A2605" s="6" t="inlineStr">
        <is>
          <t xml:space="preserve">   Dekorációs világítás / Kivetítő</t>
        </is>
      </c>
      <c r="B2605" s="6" t="inlineStr">
        <is>
          <t/>
        </is>
      </c>
      <c r="C2605" s="6" t="inlineStr">
        <is>
          <t/>
        </is>
      </c>
      <c r="D2605" s="6" t="inlineStr">
        <is>
          <t/>
        </is>
      </c>
      <c r="E2605" s="6" t="inlineStr">
        <is>
          <t/>
        </is>
      </c>
      <c r="F2605" s="6" t="inlineStr">
        <is>
          <t/>
        </is>
      </c>
      <c r="G2605" s="6" t="inlineStr">
        <is>
          <t/>
        </is>
      </c>
    </row>
    <row r="2606">
      <c r="A2606" s="3" t="inlineStr">
        <is>
          <t>DL IP 8</t>
        </is>
      </c>
      <c r="B2606" s="2" t="inlineStr">
        <is>
          <t>Home DL IP 8 lézerprojektor, 8 fényeffekt, piros és zöld lézer, 3 lábú állvány, IP44, kültéri, beltéri</t>
        </is>
      </c>
      <c r="C2606" s="1" t="n">
        <v>15590.0</v>
      </c>
      <c r="D2606" s="7" t="n">
        <f>HYPERLINK("https://www.somogyi.hu/product/home-dl-ip-8-lezerprojektor-8-fenyeffekt-piros-es-zold-lezer-3-labu-allvany-ip44-kulteri-belteri-dl-ip-8-16084","https://www.somogyi.hu/product/home-dl-ip-8-lezerprojektor-8-fenyeffekt-piros-es-zold-lezer-3-labu-allvany-ip44-kulteri-belteri-dl-ip-8-16084")</f>
        <v>0.0</v>
      </c>
      <c r="E2606" s="7" t="n">
        <f>HYPERLINK("https://www.somogyi.hu/data/img/product_main_images/small/16084.jpg","https://www.somogyi.hu/data/img/product_main_images/small/16084.jpg")</f>
        <v>0.0</v>
      </c>
      <c r="F2606" s="2" t="inlineStr">
        <is>
          <t>5999084941161</t>
        </is>
      </c>
      <c r="G2606" s="4" t="inlineStr">
        <is>
          <t>Varázslatos fényjáték az év minden napjára - Ismerje meg a DL IP 8 Lézerprojektort! 
Unja már a hosszas karácsonyi díszítést? Vágyna valami egyszerűbbre, mégis látványosabbra? A DL IP 8 Lézerprojektor ideális választás mindazok számára, akik szeretnék feldobni az ünnepi dekorációt, de nem szeretnének órákat eltölteni a felállítással. Legyen szó beltéri vagy kültéri használatról, a 8 különböző karácsonyi fényeffekt között választva egy pillanat alatt átalakíthatja otthona hangulatát, a folyamatos piros és zöld lézerfények pedig varázslatos fényjátékot teremtenek. 
A DL IP 8 Lézerprojektor azonban több, mint csupán fényjáték. Rugalmasan használható: leszúrható a talajba, vagy akár a 3-lábú állványra is helyezhető. Az IP44-es kültéri adapternek és a 0,9 m hosszú tápvezetéknek köszönhetően könnyedén csatlakoztathatja a hálózathoz, így bármilyen időjárási viszonyok között biztonságosan működhet. 
Tegye varázslatossá az ünnepi időszakot a DL IP 8 Lézerprojektorral, és teremtsen egyedi fényekkel teli atmoszférát otthonában vagy kertjében!</t>
        </is>
      </c>
    </row>
    <row r="2607">
      <c r="A2607" s="6" t="inlineStr">
        <is>
          <t xml:space="preserve">   Dekorációs világítás / Pótizzó</t>
        </is>
      </c>
      <c r="B2607" s="6" t="inlineStr">
        <is>
          <t/>
        </is>
      </c>
      <c r="C2607" s="6" t="inlineStr">
        <is>
          <t/>
        </is>
      </c>
      <c r="D2607" s="6" t="inlineStr">
        <is>
          <t/>
        </is>
      </c>
      <c r="E2607" s="6" t="inlineStr">
        <is>
          <t/>
        </is>
      </c>
      <c r="F2607" s="6" t="inlineStr">
        <is>
          <t/>
        </is>
      </c>
      <c r="G2607" s="6" t="inlineStr">
        <is>
          <t/>
        </is>
      </c>
    </row>
    <row r="2608">
      <c r="A2608" s="3" t="inlineStr">
        <is>
          <t>L 4104</t>
        </is>
      </c>
      <c r="B2608" s="2" t="inlineStr">
        <is>
          <t>Home L 4104 pótizzó, G 4104/G 4102/G 4101 jégcsap füzérekhez</t>
        </is>
      </c>
      <c r="C2608" s="1" t="n">
        <v>839.0</v>
      </c>
      <c r="D2608" s="7" t="n">
        <f>HYPERLINK("https://www.somogyi.hu/product/home-l-4104-potizzo-g-4104-g-4102-g-4101-jegcsap-fuzerekhez-l-4104-4615","https://www.somogyi.hu/product/home-l-4104-potizzo-g-4104-g-4102-g-4101-jegcsap-fuzerekhez-l-4104-4615")</f>
        <v>0.0</v>
      </c>
      <c r="E2608" s="7" t="n">
        <f>HYPERLINK("https://www.somogyi.hu/data/img/product_main_images/small/04615.jpg","https://www.somogyi.hu/data/img/product_main_images/small/04615.jpg")</f>
        <v>0.0</v>
      </c>
      <c r="F2608" s="2" t="inlineStr">
        <is>
          <t>5998312740712</t>
        </is>
      </c>
      <c r="G2608" s="4" t="inlineStr">
        <is>
          <t>Miért hagyná, hogy egyetlen kiégett izzó megzavarja ünnepi fénydekorációját? A Home L 4104 pótizzó kifejezetten a Home G 4104, G 4102 és G 4101 jégcsap fényfüzérekhez készült, biztosítva, hogy jégcsap füzérei mindig teljes fényükben tündököljenek az ünnepi szezonban. 
Ezek az izzók gondoskodnak arról, hogy fénydekorációja soha ne veszítsen ragyogásából, így Ön gondtalanul élvezheti a meghitt ünnepi hangulatot. A fehér fényű pótizzók tökéletesen illeszkednek a jégcsap füzérekhez, harmonikusan kiegészítve a hideg téli látványt, amely a kültéri vagy beltéri díszítések alapvető elemévé válik. A 2 db-os csomag lehetővé teszi, hogy mindig legyen tartalék kéznél, így egyetlen izzócsere sem okozhat gondot.
A Home L 4104 pótizzók könnyedén cserélhetők, így néhány perc alatt ismét üzembe helyezheti fényfüzérét, legyen az a kertben, a teraszon vagy akár az otthonában. Ezek a pótizzók biztosítják, hogy a jégcsap függöny folyamatosan ragyogjon, és meghitt, ünnepi fényt árasztson bármilyen környezetben. Az izzók fehér fénye jól illik a téli dekorációs stílushoz, legyen szó hagyományos vagy modern környezetről.
Ne hagyja, hogy egy kiégett izzó elrontsa az ünnepi fényeket! Rendelje meg a Home L 4104 pótizzókat, és gondoskodjon róla, hogy jégcsap füzérei mindig tökéletes fényben ragyogjanak az ünnepek alatt!</t>
        </is>
      </c>
    </row>
    <row r="2609">
      <c r="A2609" s="3" t="inlineStr">
        <is>
          <t>L 2040C/E10</t>
        </is>
      </c>
      <c r="B2609" s="2" t="inlineStr">
        <is>
          <t>Home L 2040C/E10 pótizzó, KAD 07, KAD 07/RD, gyertyaláng, 3 db</t>
        </is>
      </c>
      <c r="C2609" s="1" t="n">
        <v>1590.0</v>
      </c>
      <c r="D2609" s="7" t="n">
        <f>HYPERLINK("https://www.somogyi.hu/product/home-l-2040c-e10-potizzo-kad-07-kad-07-rd-gyertyalang-3-db-l-2040c-e10-10270","https://www.somogyi.hu/product/home-l-2040c-e10-potizzo-kad-07-kad-07-rd-gyertyalang-3-db-l-2040c-e10-10270")</f>
        <v>0.0</v>
      </c>
      <c r="E2609" s="7" t="n">
        <f>HYPERLINK("https://www.somogyi.hu/data/img/product_main_images/small/10270.jpg","https://www.somogyi.hu/data/img/product_main_images/small/10270.jpg")</f>
        <v>0.0</v>
      </c>
      <c r="F2609" s="2" t="inlineStr">
        <is>
          <t>5998312788790</t>
        </is>
      </c>
      <c r="G2609" s="4" t="inlineStr">
        <is>
          <t>Előfordult már, hogy az ünnepek közepén kiégett egy izzó a kedvenc gyertyapiramisán? A Home L 2040C/E10 pótizzók tökéletes megoldást kínálnak, ha a KAD 07 vagy KAD 07/RD gyertyapiramisához keres csereizzót, és biztosítani szeretné, hogy otthonában az ünnepi fények zavartalanul ragyogjanak. 
Ezek a megbízható pótizzók gyertyaláng alakú kialakítással rendelkeznek, így nemcsak praktikusak, de esztétikai értéket is hozzáadnak a dekorációhoz, autentikus megjelenést biztosítva az ünnepi hangulat számára. A 3 db-os csomagban található pótizzók könnyen cserélhetők, így a karácsonyi gyertyapiramis gyorsan visszanyeri eredeti pompáját. A pótizzók kompatibilisek a KAD 07 és KAD 07/RD gyertyapiramissal, biztosítva, hogy bármilyen modellhez könnyedén beilleszthető legyen. Az E10-es foglalatú izzók stabil, megbízható fényt nyújtanak, így hosszú távon gondoskodnak arról, hogy gyertyapiramisa mindig készen álljon a csodálatos ünnepi hangulat megteremtésére.
A pótizzók egyszerű használata és hosszú élettartama révén elkerülheti a váratlan izzóproblémákat az ünnepi időszakban. Ráadásul az autentikus gyertyaláng alakú fény különleges atmoszférát kölcsönöz, amely a hagyományos karácsonyi dekorációk egyik elengedhetetlen eleme.
Ne hagyja, hogy egy kiégett izzó megzavarja az ünnepi hangulatot! Rendelje meg a Home L 2040C/E10 pótizzókat, és győződjön meg róla, hogy gyertyapiramisa mindig fényesen ragyog az ünnepek alatt!</t>
        </is>
      </c>
    </row>
    <row r="2610">
      <c r="A2610" s="3" t="inlineStr">
        <is>
          <t>L 7D</t>
        </is>
      </c>
      <c r="B2610" s="2" t="inlineStr">
        <is>
          <t>Home L 7D pótizzó, Home KAD 01, KAD 02, KAD 03 gyertyapiramisokhoz fehér, 3 db</t>
        </is>
      </c>
      <c r="C2610" s="1" t="n">
        <v>799.0</v>
      </c>
      <c r="D2610" s="7" t="n">
        <f>HYPERLINK("https://www.somogyi.hu/product/home-l-7d-potizzo-home-kad-01-kad-02-kad-03-gyertyapiramisokhoz-feher-3-db-l-7d-4935","https://www.somogyi.hu/product/home-l-7d-potizzo-home-kad-01-kad-02-kad-03-gyertyapiramisokhoz-feher-3-db-l-7d-4935")</f>
        <v>0.0</v>
      </c>
      <c r="E2610" s="7" t="n">
        <f>HYPERLINK("https://www.somogyi.hu/data/img/product_main_images/small/04935.jpg","https://www.somogyi.hu/data/img/product_main_images/small/04935.jpg")</f>
        <v>0.0</v>
      </c>
      <c r="F2610" s="2" t="inlineStr">
        <is>
          <t>5998312743577</t>
        </is>
      </c>
      <c r="G2610" s="4" t="inlineStr">
        <is>
          <t>Előfordult már, hogy az ünnepi hangulat közepén egyetlen kiégett izzó tönkretette a karácsonyi varázst? A Home L 7D pótizzókkal gyorsan és egyszerűen visszaállíthatja gyertyapiramisa teljes fényét. 
Ezek az izzók kifejezetten a Home KAD 01, KAD 02 és KAD 03 gyertyapiramis modellekhez készültek, hogy otthonának ünnepi dísze soha ne veszítsen fényéből. A pótizzók megbízható, 34 V-os feszültséggel és 3 W-os teljesítménnyel működnek, biztosítva, hogy gyertyapiramisa ragyogó és meleg fényt sugározzon az egész szezon alatt. A 3 db-os kiszerelésben kapható fehér izzók lágy, elegáns fényt biztosítanak, amely tökéletesen illeszkedik a gyertyapiramisok finom, klasszikus hangulatához. A csere egyszerűen megoldható, így egyetlen kiégett izzó sem akadályozhatja meg, hogy otthona minden részét ünnepi ragyogásban fürdesse.
A Home L 7D pótizzók megbízhatóan biztosítják, hogy gyertyapiramisa mindig teljes fényében tündököljön, legyen szó egy meghitt karácsonyi estéről vagy egy családi összejövetelről. Kompatibilitásuk a KAD 01, KAD 02 és KAD 03 modellekkel garantálja, hogy tökéletesen illeszkedjenek bármelyik piramisba, megőrizve annak eredeti megjelenését és hangulatát.
Ne hagyja, hogy egyetlen kiégett izzó elrontsa a karácsonyi hangulatot!</t>
        </is>
      </c>
    </row>
    <row r="2611">
      <c r="A2611" s="3" t="inlineStr">
        <is>
          <t>L 16KL</t>
        </is>
      </c>
      <c r="B2611" s="2" t="inlineStr">
        <is>
          <t>Home L 16KL pótizzó, KIK 16L, melegfehér, 3 db</t>
        </is>
      </c>
      <c r="C2611" s="1" t="n">
        <v>309.0</v>
      </c>
      <c r="D2611" s="7" t="n">
        <f>HYPERLINK("https://www.somogyi.hu/product/home-l-16kl-potizzo-kik-16l-melegfeher-3-db-l-16kl-12113","https://www.somogyi.hu/product/home-l-16kl-potizzo-kik-16l-melegfeher-3-db-l-16kl-12113")</f>
        <v>0.0</v>
      </c>
      <c r="E2611" s="7" t="n">
        <f>HYPERLINK("https://www.somogyi.hu/data/img/product_main_images/small/12113.jpg","https://www.somogyi.hu/data/img/product_main_images/small/12113.jpg")</f>
        <v>0.0</v>
      </c>
      <c r="F2611" s="2" t="inlineStr">
        <is>
          <t>5999084903251</t>
        </is>
      </c>
      <c r="G2611" s="4" t="inlineStr">
        <is>
          <t>Hogyan biztosíthatja fényfüzére folyamatos ragyogását az ünnepi időszak alatt? A Home L 16KL pótizzók tökéletes megoldást kínálnak, ha szeretné fényfüzérét folyamatosan működőképesen és ragyogóan tartani az ünnepek alatt. 
Kifejezetten a KIK 16L fényfüzérhez tervezve, ezek a melegfehér izzók gondoskodnak arról, hogy a füzér minden alkalommal ugyanolyan varázslatos fényárban fürödjön, mint amikor először bekapcsolta. A 3 db-os csomag biztosítja, hogy mindig legyen kéznél pótizzó, ha valamelyik LED kiégne, így nem kell aggódnia, hogy fényfüzére megszakítaná az ünnepi hangulatot.
A melegfehér fény kellemes, meghitt atmoszférát teremt, tökéletes választás bármilyen karácsonyi vagy ünnepi dekorációhoz. Az izzók lágy fénye tökéletesen illeszkedik a KIK 16L fényfüzér által keltett varázslatos környezethez, amely lenyűgöző megjelenést biztosít.
Ezek az izzók kifejezetten egyszerűen cserélhetők, így gyorsan és könnyedén biztosíthatja, hogy fényfüzére ismét teljes pompájában ragyogjon. A Home L 16KL pótizzók hosszú élettartammal rendelkeznek, biztosítva, hogy a füzér sok éven át tökéletesen működjön anélkül, hogy gyakori izzócserére lenne szükség.
Ne hagyja, hogy egyetlen kiégett izzó megzavarja ünnepi fényfüzérét! Válassza a Home L 16KL pótizzókat, és biztosítsa, hogy a melegfehér fények folyamatosan varázsolják el Önt és vendégeit az ünnepek alatt!</t>
        </is>
      </c>
    </row>
    <row r="2612">
      <c r="A2612" s="3" t="inlineStr">
        <is>
          <t>L 16L</t>
        </is>
      </c>
      <c r="B2612" s="2" t="inlineStr">
        <is>
          <t>Home L 16L pótizzó, KI 16L, melegfehér, 3 db</t>
        </is>
      </c>
      <c r="C2612" s="1" t="n">
        <v>519.0</v>
      </c>
      <c r="D2612" s="7" t="n">
        <f>HYPERLINK("https://www.somogyi.hu/product/home-l-16l-potizzo-ki-16l-melegfeher-3-db-l-16l-12111","https://www.somogyi.hu/product/home-l-16l-potizzo-ki-16l-melegfeher-3-db-l-16l-12111")</f>
        <v>0.0</v>
      </c>
      <c r="E2612" s="7" t="n">
        <f>HYPERLINK("https://www.somogyi.hu/data/img/product_main_images/small/12111.jpg","https://www.somogyi.hu/data/img/product_main_images/small/12111.jpg")</f>
        <v>0.0</v>
      </c>
      <c r="F2612" s="2" t="inlineStr">
        <is>
          <t>5999084903237</t>
        </is>
      </c>
      <c r="G2612" s="4" t="inlineStr">
        <is>
          <t>Hogyan biztosíthatja fényfüzére folyamatos ragyogását az ünnepi időszak alatt? A Home L 16L pótizzók tökéletes megoldást kínálnak, ha szeretné fényfüzérét folyamatosan működőképesen és ragyogóan tartani az ünnepek alatt. 
Kifejezetten a KI 16L fényfüzérhez tervezve, ezek a melegfehér izzók gondoskodnak arról, hogy a füzér minden alkalommal ugyanolyan varázslatos fényárban fürödjön, mint amikor először bekapcsolta. A 3 db-os csomag biztosítja, hogy mindig legyen kéznél pótizzó, ha valamelyik LED kiégne, így nem kell aggódnia, hogy fényfüzére megszakítaná az ünnepi hangulatot.
A melegfehér fény kellemes, meghitt atmoszférát teremt, tökéletes választás bármilyen karácsonyi vagy ünnepi dekorációhoz. Az izzók lágy fénye tökéletesen illeszkedik a KIK 16L fényfüzér által keltett varázslatos környezethez, amely lenyűgöző megjelenést biztosít.
Ezek az izzók kifejezetten egyszerűen cserélhetők, így gyorsan és könnyedén biztosíthatja, hogy fényfüzére ismét teljes pompájában ragyogjon. A Home L 16L pótizzók hosszú élettartammal rendelkeznek, biztosítva, hogy a füzér sok éven át tökéletesen működjön anélkül, hogy gyakori izzócserére lenne szükség.
Ne hagyja, hogy egyetlen kiégett izzó megzavarja ünnepi fényfüzérét! Válassza a Home L 16L pótizzókat, és biztosítsa, hogy a melegfehér fények folyamatosan varázsolják el Önt és vendégeit az ünnepek alatt!</t>
        </is>
      </c>
    </row>
    <row r="2613">
      <c r="A2613" s="6" t="inlineStr">
        <is>
          <t xml:space="preserve">   Dekorációs világítás / Halloween</t>
        </is>
      </c>
      <c r="B2613" s="6" t="inlineStr">
        <is>
          <t/>
        </is>
      </c>
      <c r="C2613" s="6" t="inlineStr">
        <is>
          <t/>
        </is>
      </c>
      <c r="D2613" s="6" t="inlineStr">
        <is>
          <t/>
        </is>
      </c>
      <c r="E2613" s="6" t="inlineStr">
        <is>
          <t/>
        </is>
      </c>
      <c r="F2613" s="6" t="inlineStr">
        <is>
          <t/>
        </is>
      </c>
      <c r="G2613" s="6" t="inlineStr">
        <is>
          <t/>
        </is>
      </c>
    </row>
    <row r="2614">
      <c r="A2614" s="3" t="inlineStr">
        <is>
          <t>KD 180 T</t>
        </is>
      </c>
      <c r="B2614" s="2" t="inlineStr">
        <is>
          <t>Home KD 180 T felfújható halloween tök, 183 cm, belső LED projektorral, beépített ventilátor, kül- és beltéri</t>
        </is>
      </c>
      <c r="C2614" s="1" t="n">
        <v>30490.0</v>
      </c>
      <c r="D2614" s="7" t="n">
        <f>HYPERLINK("https://www.somogyi.hu/product/home-kd-180-t-felfujhato-halloween-tok-183-cm-belso-led-projektorral-beepitett-ventilator-kul-es-belteri-kd-180-t-17363","https://www.somogyi.hu/product/home-kd-180-t-felfujhato-halloween-tok-183-cm-belso-led-projektorral-beepitett-ventilator-kul-es-belteri-kd-180-t-17363")</f>
        <v>0.0</v>
      </c>
      <c r="E2614" s="7" t="n">
        <f>HYPERLINK("https://www.somogyi.hu/data/img/product_main_images/small/17363.jpg","https://www.somogyi.hu/data/img/product_main_images/small/17363.jpg")</f>
        <v>0.0</v>
      </c>
      <c r="F2614" s="2" t="inlineStr">
        <is>
          <t>5999084953850</t>
        </is>
      </c>
      <c r="G2614" s="4" t="inlineStr">
        <is>
          <t>Ön is szokta úgy érezni, hogy a halloween-i dekoráció sosem lehet elég félelmetes? Nos, most itt a lehetőség, hogy igazán ijesztővé tegye az ünnepi hangulatot - bemutatjuk a Home KD 180 T felfújható halloween tököt!
Ez a kül- és beltéri használatra tervezett felfújható tök tökéletes választás a Halloween-i dekorációhoz. Nem kell többé aggódnia az időjárás miatt, mivel ellenáll a havazásnak és a csepegő esőnek is. A belső LED projektorral fokozza a tök ijesztő megjelenését, és a kalappal még hangulatosabbá teszi.
A beépített ventilátor segítségével könnyedén felfújható, és a tartozék 4 darab leszúrótüskével és 2 darab rögzítőzsinórral stabilan biztosítható. A tápellátásról egy kültéri hálózati adapter gondoskodik, aminek a vezetéke 1,8 méter hosszú.
Ne hagyja ki ezt a fantasztikus lehetőséget, hogy otthonát igazi rémálommá varázsolja! Szerezze be a Home KD 180 T felfújható halloween tököt még ma,</t>
        </is>
      </c>
    </row>
    <row r="2615">
      <c r="A2615" s="6" t="inlineStr">
        <is>
          <t xml:space="preserve">   Dekorációs világítás / Karácsonyfa talp</t>
        </is>
      </c>
      <c r="B2615" s="6" t="inlineStr">
        <is>
          <t/>
        </is>
      </c>
      <c r="C2615" s="6" t="inlineStr">
        <is>
          <t/>
        </is>
      </c>
      <c r="D2615" s="6" t="inlineStr">
        <is>
          <t/>
        </is>
      </c>
      <c r="E2615" s="6" t="inlineStr">
        <is>
          <t/>
        </is>
      </c>
      <c r="F2615" s="6" t="inlineStr">
        <is>
          <t/>
        </is>
      </c>
      <c r="G2615" s="6" t="inlineStr">
        <is>
          <t/>
        </is>
      </c>
    </row>
    <row r="2616">
      <c r="A2616" s="3" t="inlineStr">
        <is>
          <t>CTH 02</t>
        </is>
      </c>
      <c r="B2616" s="2" t="inlineStr">
        <is>
          <t>Home CTH 02 karácsonyfatalp, max. 2,1 m magas fához, 1,6 l víztartály, 50 - 105 mm átmérőhöz, beltéri</t>
        </is>
      </c>
      <c r="C2616" s="1" t="n">
        <v>6090.0</v>
      </c>
      <c r="D2616" s="7" t="n">
        <f>HYPERLINK("https://www.somogyi.hu/product/home-cth-02-karacsonyfatalp-max-2-1-m-magas-fahoz-1-6-l-viztartaly-50-105-mm-atmerohoz-belteri-cth-02-16989","https://www.somogyi.hu/product/home-cth-02-karacsonyfatalp-max-2-1-m-magas-fahoz-1-6-l-viztartaly-50-105-mm-atmerohoz-belteri-cth-02-16989")</f>
        <v>0.0</v>
      </c>
      <c r="E2616" s="7" t="n">
        <f>HYPERLINK("https://www.somogyi.hu/data/img/product_main_images/small/16989.jpg","https://www.somogyi.hu/data/img/product_main_images/small/16989.jpg")</f>
        <v>0.0</v>
      </c>
      <c r="F2616" s="2" t="inlineStr">
        <is>
          <t>5999084950217</t>
        </is>
      </c>
      <c r="G2616" s="4" t="inlineStr">
        <is>
          <t>Támogassa karácsonyi dekorációját a CTH 02 karácsonyfatalppal, amely praktikus és megbízható választás a tökéletes karácsonyfa megjelenítéséhez. 
Ezt a beltéri használatra tervezett talpat a maximális kényelem és stabilitás jellemzi, ideális akár 2,1 méter magas fákhoz. 
A fatörzs lehetséges átmérőjének tartománya 50 és 105 mm között mozog, így sokféle méretű karácsonyfához használható. 
A CTH 02 karácsonyfatartó víztartályában 1,6 literes kapacitással lehetőség nyílik az élő fák vízellátásának biztosítására is, hogy karácsonyfája mindig friss és látványos legyen az ünnepek alatt. 
A sötétzöld műanyag kialakítás nem csak praktikus, de elegánsan illeszkedik bármilyen karácsonyi díszítéshez is. 
Válassza a CTH 02 karácsonyfatalpat, hogy még szebbé és meghittebbé tegye a karácsonyi ünnepeket!</t>
        </is>
      </c>
    </row>
    <row r="2617">
      <c r="A2617" s="6" t="inlineStr">
        <is>
          <t xml:space="preserve">   Dekorációs világítás / Felfújható figura</t>
        </is>
      </c>
      <c r="B2617" s="6" t="inlineStr">
        <is>
          <t/>
        </is>
      </c>
      <c r="C2617" s="6" t="inlineStr">
        <is>
          <t/>
        </is>
      </c>
      <c r="D2617" s="6" t="inlineStr">
        <is>
          <t/>
        </is>
      </c>
      <c r="E2617" s="6" t="inlineStr">
        <is>
          <t/>
        </is>
      </c>
      <c r="F2617" s="6" t="inlineStr">
        <is>
          <t/>
        </is>
      </c>
      <c r="G2617" s="6" t="inlineStr">
        <is>
          <t/>
        </is>
      </c>
    </row>
    <row r="2618">
      <c r="A2618" s="3" t="inlineStr">
        <is>
          <t>KD 240 M</t>
        </is>
      </c>
      <c r="B2618" s="2" t="inlineStr">
        <is>
          <t>Home KD 240 M felfújható mikulás, 3 db LED, beépített ventilátor, 6 db leszúró, kültéri, beltéri</t>
        </is>
      </c>
      <c r="C2618" s="1" t="n">
        <v>40690.0</v>
      </c>
      <c r="D2618" s="7" t="n">
        <f>HYPERLINK("https://www.somogyi.hu/product/home-kd-240-m-felfujhato-mikulas-3-db-led-beepitett-ventilator-6-db-leszuro-kulteri-belteri-kd-240-m-17012","https://www.somogyi.hu/product/home-kd-240-m-felfujhato-mikulas-3-db-led-beepitett-ventilator-6-db-leszuro-kulteri-belteri-kd-240-m-17012")</f>
        <v>0.0</v>
      </c>
      <c r="E2618" s="7" t="n">
        <f>HYPERLINK("https://www.somogyi.hu/data/img/product_main_images/small/17012.jpg","https://www.somogyi.hu/data/img/product_main_images/small/17012.jpg")</f>
        <v>0.0</v>
      </c>
      <c r="F2618" s="2" t="inlineStr">
        <is>
          <t>5999084950446</t>
        </is>
      </c>
      <c r="G2618" s="4" t="inlineStr">
        <is>
          <t>Ünnepi varázslat a KD 240 M felfújható Mikulással! Teremtse meg az ünnepi hangulatot, legyen az kint a szabadban vagy otthonában. 
Ez a felfújható Mikulás ellenáll a havazásnak és a csepegő esőnek is. A 3 fehér LED fénye még ünnepibbé varázsolja a környezetet, éjjel és nappal. A beépített ventilátor segítségével villámgyorsan felfújhatja a Mikulást, így kevesebb időt tölt majd készülődéssel és többet ünnepléssel. A csomagban található 6 db leszúrótüske és 3 x 2 m rögzítőzsinór biztosítja a stabil rögzítést, bármilyen területen is helyezze el. A kültéri hálózati adapter és az 1,8 m hosszú adaptervezeték gondoskodik arról, hogy a Mikulás mindig ragyogjon. 
Élvezze a család és a barátok reakcióit, amikor meglátják ezt a varázslatos dekorációt az ünnepi időszakban!</t>
        </is>
      </c>
    </row>
    <row r="2619">
      <c r="A2619" s="3" t="inlineStr">
        <is>
          <t>KD 240 K</t>
        </is>
      </c>
      <c r="B2619" s="2" t="inlineStr">
        <is>
          <t>Home KD 240 K felfújható karácsonyfa, LED projektor, villogó LED, beépített ventilátor, 6 db leszúró, kültéri, beltéri</t>
        </is>
      </c>
      <c r="C2619" s="1" t="n">
        <v>40690.0</v>
      </c>
      <c r="D2619" s="7" t="n">
        <f>HYPERLINK("https://www.somogyi.hu/product/home-kd-240-k-felfujhato-karacsonyfa-led-projektor-villogo-led-beepitett-ventilator-6-db-leszuro-kulteri-belteri-kd-240-k-17366","https://www.somogyi.hu/product/home-kd-240-k-felfujhato-karacsonyfa-led-projektor-villogo-led-beepitett-ventilator-6-db-leszuro-kulteri-belteri-kd-240-k-17366")</f>
        <v>0.0</v>
      </c>
      <c r="E2619" s="7" t="n">
        <f>HYPERLINK("https://www.somogyi.hu/data/img/product_main_images/small/17366.jpg","https://www.somogyi.hu/data/img/product_main_images/small/17366.jpg")</f>
        <v>0.0</v>
      </c>
      <c r="F2619" s="2" t="inlineStr">
        <is>
          <t>5999084953881</t>
        </is>
      </c>
      <c r="G2619" s="4" t="inlineStr">
        <is>
          <t>Tegye varázslatossá az ünnepi szezont a KD 240 K felfújható karácsonyfával! Hozza el az ünnepi fények és a hangulatot a szabadba vagy a belső terekbe. 
Ez a felfújható karácsonyfa ellenáll a havazásnak és a csepegő esőnek is. A belső LED projektor és a villogó LED-ek még látványosabbá teszik a díszítést, és varázslatos fényekkel öltöztetik fel a környezetet. A beépített ventilátor pillanatok alatt felfújja a karácsonyfát, így könnyedén és gyorsan kész a dekoráció. A csomag tartalmaz 6 db leszúrótüskét és 3 db rögzítőzsinórt is, hogy stabilan rögzíthető legyen bármilyen felületen. 
A kültéri hálózati adapter és az 1,8 m hosszú adaptervezeték gondoskodik a megbízható tápellátásról. Vonzza a tekinteteket és varázsoljon ünnepi hangulatot a KD 240 K felfújható karácsonyfával, mely mindenkit elbűvöl!</t>
        </is>
      </c>
    </row>
    <row r="2620">
      <c r="A2620" s="3" t="inlineStr">
        <is>
          <t>KDP 120 H</t>
        </is>
      </c>
      <c r="B2620" s="2" t="inlineStr">
        <is>
          <t>Home KDP 120 H felfújható hóember, 3 db LED, beépített ventilátor, 4 db leszúró, kültéri, beltéri</t>
        </is>
      </c>
      <c r="C2620" s="1" t="n">
        <v>30490.0</v>
      </c>
      <c r="D2620" s="7" t="n">
        <f>HYPERLINK("https://www.somogyi.hu/product/home-kdp-120-h-felfujhato-hoember-3-db-led-beepitett-ventilator-4-db-leszuro-kulteri-belteri-kdp-120-h-17015","https://www.somogyi.hu/product/home-kdp-120-h-felfujhato-hoember-3-db-led-beepitett-ventilator-4-db-leszuro-kulteri-belteri-kdp-120-h-17015")</f>
        <v>0.0</v>
      </c>
      <c r="E2620" s="7" t="n">
        <f>HYPERLINK("https://www.somogyi.hu/data/img/product_main_images/small/17015.jpg","https://www.somogyi.hu/data/img/product_main_images/small/17015.jpg")</f>
        <v>0.0</v>
      </c>
      <c r="F2620" s="2" t="inlineStr">
        <is>
          <t>5999084950477</t>
        </is>
      </c>
      <c r="G2620" s="4" t="inlineStr">
        <is>
          <t>Tegye még varázslatosabbá az ünnepi időszakot a KD 120 H felfújható hóemberrel!  Nem számít, hogy kint vagy bent ünnepel, ez a bájos dekoráció mindenhol mosolyt csal az arcokra. 
Felfújható hóemberünk kiváló minőségű anyagból készült, plüss tapintású felülettel, amely ellenáll a havazásnak és a csepegő esőnek is. 
A 3 db fehér LED világítása még a sötét téli estéken is ragyogó hangulatot teremt. A beépített ventilátor pedig gyorsan felfújja a hóembert, így pillanatok alatt készen áll az ünnepi díszítésre. A csomagban 4 db leszúrótüske és 2 x 1 m rögzítőzsinór is található, hogy könnyedén és biztonságosan rögzíthesse a hóembert bármely felületre. 
A kültéri hálózati adapter és az 1,8 m hosszú adaptervezeték pedig biztosítja, hogy a hóember mindenhol ragyogóan világítson. Csaljon mosolyt a szomszédok és az egész család arcára!</t>
        </is>
      </c>
    </row>
    <row r="2621">
      <c r="A2621" s="3" t="inlineStr">
        <is>
          <t>KD 120 H</t>
        </is>
      </c>
      <c r="B2621" s="2" t="inlineStr">
        <is>
          <t>Home KD 120 H felfújható hóember, 3 db LED, beépített ventilátor, 4 db leszúró, kültéri, beltéri</t>
        </is>
      </c>
      <c r="C2621" s="1" t="n">
        <v>16290.0</v>
      </c>
      <c r="D2621" s="7" t="n">
        <f>HYPERLINK("https://www.somogyi.hu/product/home-kd-120-h-felfujhato-hoember-3-db-led-beepitett-ventilator-4-db-leszuro-kulteri-belteri-kd-120-h-17013","https://www.somogyi.hu/product/home-kd-120-h-felfujhato-hoember-3-db-led-beepitett-ventilator-4-db-leszuro-kulteri-belteri-kd-120-h-17013")</f>
        <v>0.0</v>
      </c>
      <c r="E2621" s="7" t="n">
        <f>HYPERLINK("https://www.somogyi.hu/data/img/product_main_images/small/17013.jpg","https://www.somogyi.hu/data/img/product_main_images/small/17013.jpg")</f>
        <v>0.0</v>
      </c>
      <c r="F2621" s="2" t="inlineStr">
        <is>
          <t>5999084950453</t>
        </is>
      </c>
      <c r="G2621" s="4" t="inlineStr">
        <is>
          <t>Tegye még varázslatosabbá az ünnepi időszakot a KD 120 H felfújható hóemberrel! Nem számít, hogy kint vagy bent ünnepel, ez a bájos dekoráció mindenhol mosolyt csal az arcokra. 
Felfújható hóemberünk kiváló minőségű anyagból készült, amely ellenáll a havazásnak és a csepegő esőnek is. 
A 3 db fehér LED világítása még a sötét téli estéken is ragyogó hangulatot teremt. A beépített ventilátor gyorsan felfújja a hóembert, így pillanatok alatt készen áll az ünnepi díszítésre. A csomagban 4 db leszúrótüske és 2 x 1 m rögzítőzsinór is található, hogy könnyedén és biztonságosan rögzíthesse a hóembert bármely felületre. 
A kültéri hálózati adapter és az 1,8 m hosszú adaptervezeték pedig biztosítja, hogy a hóember mindenhol ragyogóan világítson. Csaljon mosolyt a szomszédok és az egész család arcára!</t>
        </is>
      </c>
    </row>
  </sheetData>
  <pageMargins bottom="0.75" footer="0.3" header="0.3" left="0.7" right="0.7" top="0.75"/>
</worksheet>
</file>

<file path=docProps/app.xml><?xml version="1.0" encoding="utf-8"?>
<Properties xmlns="http://schemas.openxmlformats.org/officeDocument/2006/extended-properties">
  <Application>Apache POI</Applicat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2025-04-30T23:00:04Z</dcterms:created>
  <dc:creator>Apache POI</dc:creator>
</cp:coreProperties>
</file>